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7.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Assumptions" sheetId="2" state="visible" r:id="rId4"/>
    <sheet name="Hire Analysis" sheetId="3" state="visible" r:id="rId5"/>
    <sheet name="Equipment Analysis" sheetId="4" state="visible" r:id="rId6"/>
    <sheet name="Other Initiatives" sheetId="5" state="visible" r:id="rId7"/>
    <sheet name="Initiative Cash Flows" sheetId="6" state="visible" r:id="rId8"/>
    <sheet name="Monthly Cash Flow" sheetId="7" state="visible" r:id="rId9"/>
    <sheet name="13-Week Cash" sheetId="8" state="visible" r:id="rId10"/>
    <sheet name="ROI Dashboard" sheetId="9" state="visible" r:id="rId11"/>
    <sheet name="CEO Question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<sst xmlns="http://schemas.openxmlformats.org/spreadsheetml/2006/main" count="824" uniqueCount="737">
  <si>
    <t xml:space="preserve">THE HARBOR GROUP</t>
  </si>
  <si>
    <t xml:space="preserve">Cash Flow &amp; Investment Decision Model</t>
  </si>
  <si>
    <t xml:space="preserve">Answers the question every CEO asks: if we add this person or buy this equipment, what happens to cash, and is it worth it?</t>
  </si>
  <si>
    <t xml:space="preserve">HOW TO USE IT</t>
  </si>
  <si>
    <t xml:space="preserve">1.  Assumptions tab</t>
  </si>
  <si>
    <t xml:space="preserve">Set the forecast start month, hurdle rate, tax rate, baseline P&amp;L, working capital days and payroll burden rates. Everything else keys off this tab.</t>
  </si>
  <si>
    <t xml:space="preserve">2.  Hire Analysis tab</t>
  </si>
  <si>
    <t xml:space="preserve">One column per role (6 slots). Enter salary, start month, expected revenue or hours absorbed. The tab builds the fully loaded employer cost - taxes, benefits, 401(k), software, recruiting.</t>
  </si>
  <si>
    <t xml:space="preserve">3.  Equipment Analysis tab</t>
  </si>
  <si>
    <t xml:space="preserve">One column per asset (4 slots). Enter price, financing method, operating costs and the benefit. Includes a buy vs. finance vs. lease comparison and Section 179 / bonus depreciation.</t>
  </si>
  <si>
    <t xml:space="preserve">4.  Other Initiatives tab</t>
  </si>
  <si>
    <t xml:space="preserve">Anything else that costs money and is supposed to pay off: software, a marketing push, a new location, an ERP implementation.</t>
  </si>
  <si>
    <t xml:space="preserve">5.  Set Include? = Yes</t>
  </si>
  <si>
    <t xml:space="preserve">Only initiatives flagged Yes flow into the cash flow. That is how you run 'what if we only do two of these'.</t>
  </si>
  <si>
    <t xml:space="preserve">6.  Read the answers</t>
  </si>
  <si>
    <t xml:space="preserve">ROI Dashboard for the go / no-go. Monthly Cash Flow for the 24-month picture. 13-Week Cash for the near-term liquidity.</t>
  </si>
  <si>
    <t xml:space="preserve">CELL COLOUR LEGEND</t>
  </si>
  <si>
    <t xml:space="preserve">Blue text on yellow fill</t>
  </si>
  <si>
    <t xml:space="preserve">INPUT - type over these. These are the only cells you should edit.</t>
  </si>
  <si>
    <t xml:space="preserve">Black text</t>
  </si>
  <si>
    <t xml:space="preserve">Formula calculated on this tab. Do not overwrite.</t>
  </si>
  <si>
    <t xml:space="preserve">Green text</t>
  </si>
  <si>
    <t xml:space="preserve">Pulled from another tab. Do not overwrite.</t>
  </si>
  <si>
    <t xml:space="preserve">TABS</t>
  </si>
  <si>
    <t xml:space="preserve">Assumptions</t>
  </si>
  <si>
    <t xml:space="preserve">Global drivers. Scenario switch (Base / Upside / Downside) lives here.</t>
  </si>
  <si>
    <t xml:space="preserve">Hire Analysis</t>
  </si>
  <si>
    <t xml:space="preserve">Fully loaded cost of a hire, one-time cost of hiring, expected return, breakeven revenue.</t>
  </si>
  <si>
    <t xml:space="preserve">Equipment Analysis</t>
  </si>
  <si>
    <t xml:space="preserve">Acquisition cost, financing, depreciation and tax shield, operating cost, buy vs. lease.</t>
  </si>
  <si>
    <t xml:space="preserve">Other Initiatives</t>
  </si>
  <si>
    <t xml:space="preserve">Generic module for any other spend-to-earn decision.</t>
  </si>
  <si>
    <t xml:space="preserve">Initiative Cash Flows</t>
  </si>
  <si>
    <t xml:space="preserve">The engine. Month-by-month cash for every initiative. You normally do not need to touch it.</t>
  </si>
  <si>
    <t xml:space="preserve">Monthly Cash Flow</t>
  </si>
  <si>
    <t xml:space="preserve">24-month cash flow: baseline plus whatever you switched on. Ending cash vs. minimum cash.</t>
  </si>
  <si>
    <t xml:space="preserve">13-Week Cash</t>
  </si>
  <si>
    <t xml:space="preserve">Near-term liquidity, week by week - the view a lender or a nervous CEO wants.</t>
  </si>
  <si>
    <t xml:space="preserve">ROI Dashboard</t>
  </si>
  <si>
    <t xml:space="preserve">NPV, IRR, payback, ROI and a verdict for each initiative, plus the portfolio summary.</t>
  </si>
  <si>
    <t xml:space="preserve">CEO Questions</t>
  </si>
  <si>
    <t xml:space="preserve">The questions a CEO will ask about this model, and where each one is answered.</t>
  </si>
  <si>
    <t xml:space="preserve">IMPORTANT CONVENTIONS</t>
  </si>
  <si>
    <t xml:space="preserve">Sign convention</t>
  </si>
  <si>
    <t xml:space="preserve">Costs are entered as positive numbers on the input tabs; the cash flow statement handles the signs.</t>
  </si>
  <si>
    <t xml:space="preserve">Benefits</t>
  </si>
  <si>
    <t xml:space="preserve">Enter the GROSS PROFIT or hard cost saving an initiative produces, not the revenue - the model does not apply a second margin.</t>
  </si>
  <si>
    <t xml:space="preserve">Ramp</t>
  </si>
  <si>
    <t xml:space="preserve">Months to full productivity. A hire with a 6-month ramp delivers 1/6 of the benefit in month 1, 2/6 in month 2, and so on.</t>
  </si>
  <si>
    <t xml:space="preserve">Taxes</t>
  </si>
  <si>
    <t xml:space="preserve">Calculated centrally on the Monthly Cash Flow tab from pre-tax income. Depreciation flows through it, so the tax shield is not double counted.</t>
  </si>
  <si>
    <t xml:space="preserve">Payback</t>
  </si>
  <si>
    <t xml:space="preserve">Undiscounted, in months, measured from the initiative's start. NPV and IRR on the ROI Dashboard are discounted at the hurdle rate.</t>
  </si>
  <si>
    <t xml:space="preserve">Rates to refresh annually</t>
  </si>
  <si>
    <t xml:space="preserve">Social Security wage base, FUTA / SUTA rates and bases, health premiums, Section 179 limits. They are all on the Assumptions tab.</t>
  </si>
  <si>
    <t xml:space="preserve">Prepared by</t>
  </si>
  <si>
    <t xml:space="preserve">The Harbor Group  |  Fractional CFO, COO &amp; Controller services  |  theharbor.group</t>
  </si>
  <si>
    <t xml:space="preserve">ASSUMPTIONS &amp; DRIVERS</t>
  </si>
  <si>
    <t xml:space="preserve">Edit the blue cells on yellow fill only. Every other tab reads from here.</t>
  </si>
  <si>
    <t xml:space="preserve">MODEL SETUP</t>
  </si>
  <si>
    <t xml:space="preserve">Client / company name</t>
  </si>
  <si>
    <t xml:space="preserve">[Client Name]</t>
  </si>
  <si>
    <t xml:space="preserve">Shown on the dashboard.</t>
  </si>
  <si>
    <t xml:space="preserve">Forecast start month (first month of the model)</t>
  </si>
  <si>
    <t xml:space="preserve">Use the first day of the month.</t>
  </si>
  <si>
    <t xml:space="preserve">Scenario</t>
  </si>
  <si>
    <t xml:space="preserve">Base</t>
  </si>
  <si>
    <t xml:space="preserve">Base / Upside / Downside. Drives the multipliers at the bottom of this tab.</t>
  </si>
  <si>
    <t xml:space="preserve">Discount rate / hurdle rate (annual)</t>
  </si>
  <si>
    <t xml:space="preserve">Your cost of capital, or the return you would get from the next best use of the money.</t>
  </si>
  <si>
    <t xml:space="preserve">Monthly discount rate</t>
  </si>
  <si>
    <t xml:space="preserve">Derived. Used for NPV, which is calculated monthly.</t>
  </si>
  <si>
    <t xml:space="preserve">Effective income tax rate</t>
  </si>
  <si>
    <t xml:space="preserve">Blended federal + state. For an S-corp / LLC use the owners' effective rate.</t>
  </si>
  <si>
    <t xml:space="preserve">BASELINE OPERATIONS  (the business as it is today, before any new hire or purchase)</t>
  </si>
  <si>
    <t xml:space="preserve">Revenue - month 1</t>
  </si>
  <si>
    <t xml:space="preserve">Revenue growth - per month</t>
  </si>
  <si>
    <t xml:space="preserve">0.5% / month is about 6% / year.</t>
  </si>
  <si>
    <t xml:space="preserve">Gross margin %</t>
  </si>
  <si>
    <t xml:space="preserve">Operating expenses - month 1 (excluding any new hires)</t>
  </si>
  <si>
    <t xml:space="preserve">Includes existing payroll.</t>
  </si>
  <si>
    <t xml:space="preserve">Operating expense inflation - per month</t>
  </si>
  <si>
    <t xml:space="preserve">Depreciation - existing assets (monthly)</t>
  </si>
  <si>
    <t xml:space="preserve">Non-cash. Needed for the tax calculation.</t>
  </si>
  <si>
    <t xml:space="preserve">Beginning cash balance</t>
  </si>
  <si>
    <t xml:space="preserve">Minimum cash target</t>
  </si>
  <si>
    <t xml:space="preserve">Board policy, covenant floor, or the number that lets you sleep.</t>
  </si>
  <si>
    <t xml:space="preserve">Existing debt service - monthly (principal + interest)</t>
  </si>
  <si>
    <t xml:space="preserve">     of which principal - monthly</t>
  </si>
  <si>
    <t xml:space="preserve">The remainder is treated as interest expense.</t>
  </si>
  <si>
    <t xml:space="preserve">Line of credit availability (undrawn)</t>
  </si>
  <si>
    <t xml:space="preserve">Memo only - shown as liquidity, not drawn automatically.</t>
  </si>
  <si>
    <t xml:space="preserve">WORKING CAPITAL</t>
  </si>
  <si>
    <t xml:space="preserve">DSO - days sales outstanding</t>
  </si>
  <si>
    <t xml:space="preserve">How long customers take to pay. This is what turns profit into cash - or doesn't.</t>
  </si>
  <si>
    <t xml:space="preserve">DPO - days payable outstanding</t>
  </si>
  <si>
    <t xml:space="preserve">How long you take to pay vendors.</t>
  </si>
  <si>
    <t xml:space="preserve">Days inventory on hand</t>
  </si>
  <si>
    <t xml:space="preserve">Leave at 0 for a service business.</t>
  </si>
  <si>
    <t xml:space="preserve">Days in month (for working capital maths)</t>
  </si>
  <si>
    <t xml:space="preserve">PAYROLL BURDEN - EMPLOYER COST  (confirm these rates every January)</t>
  </si>
  <si>
    <t xml:space="preserve">Social Security - employer rate</t>
  </si>
  <si>
    <t xml:space="preserve">Social Security wage base (annual limit)</t>
  </si>
  <si>
    <t xml:space="preserve">CONFIRM for the current year - this changes annually.</t>
  </si>
  <si>
    <t xml:space="preserve">Medicare - employer rate (no wage cap)</t>
  </si>
  <si>
    <t xml:space="preserve">FUTA rate</t>
  </si>
  <si>
    <t xml:space="preserve">Net rate after the standard state credit.</t>
  </si>
  <si>
    <t xml:space="preserve">FUTA wage base</t>
  </si>
  <si>
    <t xml:space="preserve">SUTA / state unemployment rate</t>
  </si>
  <si>
    <t xml:space="preserve">Your experience rate - check the state notice.</t>
  </si>
  <si>
    <t xml:space="preserve">SUTA wage base</t>
  </si>
  <si>
    <t xml:space="preserve">State specific.</t>
  </si>
  <si>
    <t xml:space="preserve">Workers' compensation - % of wages</t>
  </si>
  <si>
    <t xml:space="preserve">Varies enormously by class code.</t>
  </si>
  <si>
    <t xml:space="preserve">Health insurance - $ per employee / month</t>
  </si>
  <si>
    <t xml:space="preserve">Employer share.</t>
  </si>
  <si>
    <t xml:space="preserve">Dental, vision, life, disability - $ per employee / month</t>
  </si>
  <si>
    <t xml:space="preserve">401(k) employer match - % of base salary</t>
  </si>
  <si>
    <t xml:space="preserve">Assumes full participation - conservative.</t>
  </si>
  <si>
    <t xml:space="preserve">Payroll processing - $ per employee / month</t>
  </si>
  <si>
    <t xml:space="preserve">Software, licenses, phone - $ per employee / month</t>
  </si>
  <si>
    <t xml:space="preserve">Seats nobody budgets for: CRM, email, ERP, phone.</t>
  </si>
  <si>
    <t xml:space="preserve">Recruiting / placement fee - % of base salary</t>
  </si>
  <si>
    <t xml:space="preserve">Set to 0 for a referral or direct hire.</t>
  </si>
  <si>
    <t xml:space="preserve">Onboarding &amp; training - one-time per hire</t>
  </si>
  <si>
    <t xml:space="preserve">Includes the productivity you lose from whoever trains them.</t>
  </si>
  <si>
    <t xml:space="preserve">Workstation &amp; equipment - one-time per hire</t>
  </si>
  <si>
    <t xml:space="preserve">Laptop, phone, desk, truck, tools.</t>
  </si>
  <si>
    <t xml:space="preserve">13-WEEK CASH SETTINGS</t>
  </si>
  <si>
    <t xml:space="preserve">Weeks per month (365 / 12 / 7)</t>
  </si>
  <si>
    <t xml:space="preserve">Payroll as % of baseline operating expenses</t>
  </si>
  <si>
    <t xml:space="preserve">Used to split the weekly disbursements between payroll and everything else.</t>
  </si>
  <si>
    <t xml:space="preserve">Collection lag (months, derived from DSO)</t>
  </si>
  <si>
    <t xml:space="preserve">Payment lag (months, derived from DPO)</t>
  </si>
  <si>
    <t xml:space="preserve">SCENARIO MULTIPLIERS</t>
  </si>
  <si>
    <t xml:space="preserve">Benefit realization</t>
  </si>
  <si>
    <t xml:space="preserve">Cost multiplier</t>
  </si>
  <si>
    <t xml:space="preserve">Growth multiplier</t>
  </si>
  <si>
    <t xml:space="preserve">Upside</t>
  </si>
  <si>
    <t xml:space="preserve">Downside</t>
  </si>
  <si>
    <t xml:space="preserve">Active benefit realization multiplier</t>
  </si>
  <si>
    <t xml:space="preserve">Applied to every benefit in the model.</t>
  </si>
  <si>
    <t xml:space="preserve">Active cost multiplier</t>
  </si>
  <si>
    <t xml:space="preserve">Applied to every cost in the model.</t>
  </si>
  <si>
    <t xml:space="preserve">Active revenue growth multiplier</t>
  </si>
  <si>
    <t xml:space="preserve">Applied to baseline revenue growth.</t>
  </si>
  <si>
    <t xml:space="preserve">HIRE ANALYSIS - what a person really costs, and what they have to produce</t>
  </si>
  <si>
    <t xml:space="preserve">One column per role. Blue cells on yellow are inputs. Set Include? = Yes to push the role into the cash flow.</t>
  </si>
  <si>
    <t xml:space="preserve">Hire 1</t>
  </si>
  <si>
    <t xml:space="preserve">Hire 2</t>
  </si>
  <si>
    <t xml:space="preserve">Hire 3</t>
  </si>
  <si>
    <t xml:space="preserve">Hire 4</t>
  </si>
  <si>
    <t xml:space="preserve">Hire 5</t>
  </si>
  <si>
    <t xml:space="preserve">Hire 6</t>
  </si>
  <si>
    <t xml:space="preserve">ROLE DEFINITION</t>
  </si>
  <si>
    <t xml:space="preserve">Role / title</t>
  </si>
  <si>
    <t xml:space="preserve">Project Manager</t>
  </si>
  <si>
    <t xml:space="preserve">Name the role, not the person.</t>
  </si>
  <si>
    <t xml:space="preserve">Department / function</t>
  </si>
  <si>
    <t xml:space="preserve">Operations</t>
  </si>
  <si>
    <t xml:space="preserve">Include in model?</t>
  </si>
  <si>
    <t xml:space="preserve">Yes</t>
  </si>
  <si>
    <t xml:space="preserve">No</t>
  </si>
  <si>
    <t xml:space="preserve">Only 'Yes' roles hit the cash flow. This is your what-if switch.</t>
  </si>
  <si>
    <t xml:space="preserve">Start month (1 - 24)</t>
  </si>
  <si>
    <t xml:space="preserve">Month 1 is the forecast start month on the Assumptions tab.</t>
  </si>
  <si>
    <t xml:space="preserve">ANNUAL CASH COMPENSATION</t>
  </si>
  <si>
    <t xml:space="preserve">Base salary (annual)</t>
  </si>
  <si>
    <t xml:space="preserve">Harbor internal benchmarks: staff accountant $80k, controller $110k, CFO $200k.</t>
  </si>
  <si>
    <t xml:space="preserve">Bonus / commission (% of base)</t>
  </si>
  <si>
    <t xml:space="preserve">Bonus / commission ($)</t>
  </si>
  <si>
    <t xml:space="preserve">Total cash compensation</t>
  </si>
  <si>
    <t xml:space="preserve">EMPLOYER BURDEN (annual) - the part that never makes it into the offer letter</t>
  </si>
  <si>
    <t xml:space="preserve">    Social Security (to the wage base)</t>
  </si>
  <si>
    <t xml:space="preserve">    Medicare (no cap)</t>
  </si>
  <si>
    <t xml:space="preserve">    FUTA</t>
  </si>
  <si>
    <t xml:space="preserve">    SUTA / state unemployment</t>
  </si>
  <si>
    <t xml:space="preserve">    Workers' compensation</t>
  </si>
  <si>
    <t xml:space="preserve">    Health insurance</t>
  </si>
  <si>
    <t xml:space="preserve">    Dental, vision, life, disability</t>
  </si>
  <si>
    <t xml:space="preserve">    401(k) employer match</t>
  </si>
  <si>
    <t xml:space="preserve">    Payroll processing</t>
  </si>
  <si>
    <t xml:space="preserve">    Software, licenses, phone</t>
  </si>
  <si>
    <t xml:space="preserve">Total employer burden</t>
  </si>
  <si>
    <t xml:space="preserve">FULLY LOADED ANNUAL COST</t>
  </si>
  <si>
    <t xml:space="preserve">This is the number to quote the CEO, not the salary.</t>
  </si>
  <si>
    <t xml:space="preserve">Burden as % of base salary</t>
  </si>
  <si>
    <t xml:space="preserve">Loaded cost multiple of salary</t>
  </si>
  <si>
    <t xml:space="preserve">Most employers land between 1.25x and 1.45x. If yours is below that, something is missing.</t>
  </si>
  <si>
    <t xml:space="preserve">Fully loaded monthly cost</t>
  </si>
  <si>
    <t xml:space="preserve">Fully loaded cost per hour (2,080 hrs)</t>
  </si>
  <si>
    <t xml:space="preserve">Compare against your contractor or temp rate before you hire.</t>
  </si>
  <si>
    <t xml:space="preserve">ONE-TIME COST TO HIRE</t>
  </si>
  <si>
    <t xml:space="preserve">    Recruiting / placement fee</t>
  </si>
  <si>
    <t xml:space="preserve">    Onboarding &amp; training</t>
  </si>
  <si>
    <t xml:space="preserve">    Workstation, equipment, vehicle, tools</t>
  </si>
  <si>
    <t xml:space="preserve">    Signing bonus / relocation / other</t>
  </si>
  <si>
    <t xml:space="preserve">Total one-time cost</t>
  </si>
  <si>
    <t xml:space="preserve">Charged in full in the start month - this is what makes the first month hurt.</t>
  </si>
  <si>
    <t xml:space="preserve">EXPECTED RETURN (annual, at full productivity)</t>
  </si>
  <si>
    <t xml:space="preserve">Incremental revenue this role supports</t>
  </si>
  <si>
    <t xml:space="preserve">Revenue you can only win or deliver if this person exists.</t>
  </si>
  <si>
    <t xml:space="preserve">Gross margin on that revenue (%)</t>
  </si>
  <si>
    <t xml:space="preserve">Gross profit from incremental revenue</t>
  </si>
  <si>
    <t xml:space="preserve">Hours per week of existing work absorbed</t>
  </si>
  <si>
    <t xml:space="preserve">Overtime, contractor hours, or hours the owner is currently doing.</t>
  </si>
  <si>
    <t xml:space="preserve">Cost of that work today ($ / hour)</t>
  </si>
  <si>
    <t xml:space="preserve">Annual cost savings</t>
  </si>
  <si>
    <t xml:space="preserve">Other quantified annual benefit</t>
  </si>
  <si>
    <t xml:space="preserve">Reduced turnover, faster collections, avoided penalties - only if you can defend the number.</t>
  </si>
  <si>
    <t xml:space="preserve">TOTAL EXPECTED ANNUAL BENEFIT</t>
  </si>
  <si>
    <t xml:space="preserve">Months to full productivity (ramp)</t>
  </si>
  <si>
    <t xml:space="preserve">Benefit is phased in straight-line over this many months. Be honest here - optimism on ramp is the #1 modelling error.</t>
  </si>
  <si>
    <t xml:space="preserve">Expected tenure (years)</t>
  </si>
  <si>
    <t xml:space="preserve">Replacement cost if they leave (% of salary)</t>
  </si>
  <si>
    <t xml:space="preserve">Lost productivity while the seat is empty and the next person ramps.</t>
  </si>
  <si>
    <t xml:space="preserve">RESULTS (scenario-adjusted - see the ROI Dashboard for NPV, IRR and payback)</t>
  </si>
  <si>
    <t xml:space="preserve">Year-1 total cost (incl. one-time)</t>
  </si>
  <si>
    <t xml:space="preserve">Year-1 total benefit</t>
  </si>
  <si>
    <t xml:space="preserve">Year-1 net cash impact</t>
  </si>
  <si>
    <t xml:space="preserve">Steady-state annual net (fully ramped)</t>
  </si>
  <si>
    <t xml:space="preserve">Breakeven revenue required (annual)</t>
  </si>
  <si>
    <t xml:space="preserve">Revenue this role must generate at your gross margin just to cover its own loaded cost.</t>
  </si>
  <si>
    <t xml:space="preserve">Breakeven revenue as % of company revenue</t>
  </si>
  <si>
    <t xml:space="preserve">Cost to replace this person if they leave</t>
  </si>
  <si>
    <t xml:space="preserve">The cost of a bad hire, and the reason to spend on getting it right.</t>
  </si>
  <si>
    <t xml:space="preserve">VALUE BEYOND THE 24-MONTH WINDOW</t>
  </si>
  <si>
    <t xml:space="preserve">Years of expected tenure remaining at month 24</t>
  </si>
  <si>
    <t xml:space="preserve">Terminal value at month 24 (after tax)</t>
  </si>
  <si>
    <t xml:space="preserve">Present value at month 24 of the steady-state net for the rest of the expected tenure. Stops the 24-month window from pretending the benefit ends.</t>
  </si>
  <si>
    <t xml:space="preserve">Include terminal value in NPV / IRR?</t>
  </si>
  <si>
    <t xml:space="preserve">Set to No for a strict 24-month view.</t>
  </si>
  <si>
    <t xml:space="preserve">EQUIPMENT / CAPEX ANALYSIS - buy, finance or lease, and does it pay</t>
  </si>
  <si>
    <t xml:space="preserve">One column per asset. Change the financing method and watch NPV and payback move on the ROI Dashboard - that is the real comparison.</t>
  </si>
  <si>
    <t xml:space="preserve">Asset 1</t>
  </si>
  <si>
    <t xml:space="preserve">Asset 2</t>
  </si>
  <si>
    <t xml:space="preserve">Asset 3</t>
  </si>
  <si>
    <t xml:space="preserve">Asset 4</t>
  </si>
  <si>
    <t xml:space="preserve">ASSET</t>
  </si>
  <si>
    <t xml:space="preserve">Asset description</t>
  </si>
  <si>
    <t xml:space="preserve">CNC machine</t>
  </si>
  <si>
    <t xml:space="preserve">Category / department</t>
  </si>
  <si>
    <t xml:space="preserve">Production</t>
  </si>
  <si>
    <t xml:space="preserve">Only 'Yes' assets hit the cash flow.</t>
  </si>
  <si>
    <t xml:space="preserve">Purchase month (1 - 24)</t>
  </si>
  <si>
    <t xml:space="preserve">ACQUISITION COST</t>
  </si>
  <si>
    <t xml:space="preserve">    Equipment purchase price</t>
  </si>
  <si>
    <t xml:space="preserve">    Freight, rigging &amp; installation</t>
  </si>
  <si>
    <t xml:space="preserve">Routinely forgotten. So is the electrical work.</t>
  </si>
  <si>
    <t xml:space="preserve">    Sales / use tax (%)</t>
  </si>
  <si>
    <t xml:space="preserve">    Sales / use tax ($)</t>
  </si>
  <si>
    <t xml:space="preserve">    Tooling, training &amp; setup</t>
  </si>
  <si>
    <t xml:space="preserve">TOTAL CAPITALIZED COST</t>
  </si>
  <si>
    <t xml:space="preserve">FINANCING</t>
  </si>
  <si>
    <t xml:space="preserve">Method</t>
  </si>
  <si>
    <t xml:space="preserve">Loan</t>
  </si>
  <si>
    <t xml:space="preserve">Cash</t>
  </si>
  <si>
    <t xml:space="preserve">Cash / Loan / Lease. Lease is treated as an operating lease: expensed, not capitalized, no depreciation.</t>
  </si>
  <si>
    <t xml:space="preserve">    Down payment (%)</t>
  </si>
  <si>
    <t xml:space="preserve">    Down payment ($)</t>
  </si>
  <si>
    <t xml:space="preserve">    Amount financed</t>
  </si>
  <si>
    <t xml:space="preserve">    Interest rate (annual)</t>
  </si>
  <si>
    <t xml:space="preserve">    Term (months)</t>
  </si>
  <si>
    <t xml:space="preserve">Loan payment (monthly)</t>
  </si>
  <si>
    <t xml:space="preserve">    Lease payment (monthly)</t>
  </si>
  <si>
    <t xml:space="preserve">Used only when Method = Lease.</t>
  </si>
  <si>
    <t xml:space="preserve">    Lease term (months)</t>
  </si>
  <si>
    <t xml:space="preserve">Cash required at purchase</t>
  </si>
  <si>
    <t xml:space="preserve">The hit to the bank account in the purchase month.</t>
  </si>
  <si>
    <t xml:space="preserve">Total payments over term</t>
  </si>
  <si>
    <t xml:space="preserve">ONGOING OPERATING COST (annual) - the costs nobody puts in the capex request</t>
  </si>
  <si>
    <t xml:space="preserve">    Maintenance &amp; service contract</t>
  </si>
  <si>
    <t xml:space="preserve">    Insurance</t>
  </si>
  <si>
    <t xml:space="preserve">    Fuel, power, consumables</t>
  </si>
  <si>
    <t xml:space="preserve">    Operator labour (incremental only)</t>
  </si>
  <si>
    <t xml:space="preserve">If it needs a dedicated operator, model that person on the Hire Analysis tab too.</t>
  </si>
  <si>
    <t xml:space="preserve">    Storage, space, other</t>
  </si>
  <si>
    <t xml:space="preserve">Total annual operating cost</t>
  </si>
  <si>
    <t xml:space="preserve">Monthly operating cost</t>
  </si>
  <si>
    <t xml:space="preserve">EXPECTED RETURN (annual, at full utilisation)</t>
  </si>
  <si>
    <t xml:space="preserve">    Incremental revenue enabled</t>
  </si>
  <si>
    <t xml:space="preserve">    Gross margin on that revenue (%)</t>
  </si>
  <si>
    <t xml:space="preserve">    Gross profit from incremental revenue</t>
  </si>
  <si>
    <t xml:space="preserve">    Outsourcing / rental cost avoided</t>
  </si>
  <si>
    <t xml:space="preserve">What you pay today to have someone else do this.</t>
  </si>
  <si>
    <t xml:space="preserve">    Labour / efficiency savings</t>
  </si>
  <si>
    <t xml:space="preserve">    Scrap, rework &amp; downtime reduction</t>
  </si>
  <si>
    <t xml:space="preserve">Months to full utilisation (ramp)</t>
  </si>
  <si>
    <t xml:space="preserve">Installation, commissioning, training. Assets rarely earn from day one.</t>
  </si>
  <si>
    <t xml:space="preserve">TAX &amp; DEPRECIATION</t>
  </si>
  <si>
    <t xml:space="preserve">Depreciable basis</t>
  </si>
  <si>
    <t xml:space="preserve">    Useful life (years)</t>
  </si>
  <si>
    <t xml:space="preserve">    Salvage / resale value at end of life</t>
  </si>
  <si>
    <t xml:space="preserve">Section 179 / bonus depreciation?</t>
  </si>
  <si>
    <t xml:space="preserve">Confirm the current-year limits and phase-outs with the tax preparer before you rely on this.</t>
  </si>
  <si>
    <t xml:space="preserve">    % expensed in year 1</t>
  </si>
  <si>
    <t xml:space="preserve">Year-1 depreciation deduction</t>
  </si>
  <si>
    <t xml:space="preserve">Year-2 depreciation deduction</t>
  </si>
  <si>
    <t xml:space="preserve">Year-1 tax shield</t>
  </si>
  <si>
    <t xml:space="preserve">Cash the deduction keeps in the business. Flows through the tax line on the Monthly Cash Flow tab.</t>
  </si>
  <si>
    <t xml:space="preserve">Year-2 tax shield</t>
  </si>
  <si>
    <t xml:space="preserve">BUY vs. FINANCE vs. LEASE  (nominal, shown for all three regardless of the method selected)</t>
  </si>
  <si>
    <t xml:space="preserve">    Down payment if financed</t>
  </si>
  <si>
    <t xml:space="preserve">    Monthly payment if financed</t>
  </si>
  <si>
    <t xml:space="preserve">    Total cash out - buy with cash</t>
  </si>
  <si>
    <t xml:space="preserve">    Total cash out - financed</t>
  </si>
  <si>
    <t xml:space="preserve">    Total cash out - leased (over lease term)</t>
  </si>
  <si>
    <t xml:space="preserve">    Total interest if financed</t>
  </si>
  <si>
    <t xml:space="preserve">    After-tax cost - buy with cash</t>
  </si>
  <si>
    <t xml:space="preserve">    After-tax cost - financed</t>
  </si>
  <si>
    <t xml:space="preserve">    After-tax cost - leased</t>
  </si>
  <si>
    <t xml:space="preserve">Lowest nominal after-tax cost</t>
  </si>
  <si>
    <t xml:space="preserve">Nominal only - it ignores the time value of money and the cash you keep free by financing. Use NPV on the ROI Dashboard for the real answer.</t>
  </si>
  <si>
    <t xml:space="preserve">KEY METRICS</t>
  </si>
  <si>
    <t xml:space="preserve">Annualised ownership cost</t>
  </si>
  <si>
    <t xml:space="preserve">Total annual cost of ownership</t>
  </si>
  <si>
    <t xml:space="preserve">Breakeven annual revenue required</t>
  </si>
  <si>
    <t xml:space="preserve">Simple annual return on investment</t>
  </si>
  <si>
    <t xml:space="preserve">Steady-state annual benefit less annual cost of ownership, over the capitalised cost.</t>
  </si>
  <si>
    <t xml:space="preserve">Years of useful life remaining at month 24</t>
  </si>
  <si>
    <t xml:space="preserve">A seven-year machine does not stop earning at month 24. This is the present value at month 24 of the remaining life plus salvage.</t>
  </si>
  <si>
    <t xml:space="preserve">OTHER INITIATIVES - anything else that costs money and is supposed to pay off</t>
  </si>
  <si>
    <t xml:space="preserve">Software and ERP, a marketing push, a new location, a certification, an acquisition earn-out - same maths, same test.</t>
  </si>
  <si>
    <t xml:space="preserve">Initiative 1</t>
  </si>
  <si>
    <t xml:space="preserve">Initiative 2</t>
  </si>
  <si>
    <t xml:space="preserve">Initiative 3</t>
  </si>
  <si>
    <t xml:space="preserve">Initiative 4</t>
  </si>
  <si>
    <t xml:space="preserve">INITIATIVE</t>
  </si>
  <si>
    <t xml:space="preserve">Initiative name</t>
  </si>
  <si>
    <t xml:space="preserve">ERP implementation</t>
  </si>
  <si>
    <t xml:space="preserve">Type</t>
  </si>
  <si>
    <t xml:space="preserve">Software</t>
  </si>
  <si>
    <t xml:space="preserve">Software / Marketing / Facility / Certification / Acquisition / Other.</t>
  </si>
  <si>
    <t xml:space="preserve">COSTS</t>
  </si>
  <si>
    <t xml:space="preserve">    One-time / implementation cost</t>
  </si>
  <si>
    <t xml:space="preserve">    Recurring monthly cost</t>
  </si>
  <si>
    <t xml:space="preserve">    Annual recurring cost</t>
  </si>
  <si>
    <t xml:space="preserve">    Duration (months, 0 = ongoing)</t>
  </si>
  <si>
    <t xml:space="preserve">Use this for a campaign or a fixed-term contract. 0 means it runs to the end of the forecast.</t>
  </si>
  <si>
    <t xml:space="preserve">BENEFITS</t>
  </si>
  <si>
    <t xml:space="preserve">    Incremental annual revenue</t>
  </si>
  <si>
    <t xml:space="preserve">    Annual cost savings</t>
  </si>
  <si>
    <t xml:space="preserve">    Months to full benefit (ramp)</t>
  </si>
  <si>
    <t xml:space="preserve">RESULTS</t>
  </si>
  <si>
    <t xml:space="preserve">Steady-state annual net</t>
  </si>
  <si>
    <t xml:space="preserve">24-month net cash impact</t>
  </si>
  <si>
    <t xml:space="preserve">Economic life of the benefit (years)</t>
  </si>
  <si>
    <t xml:space="preserve">Years remaining at month 24</t>
  </si>
  <si>
    <t xml:space="preserve">INITIATIVE CASH FLOWS - the engine</t>
  </si>
  <si>
    <t xml:space="preserve">Month-by-month cash for every initiative you switched on. Costs are shown positive; net = benefit less cost. You should not need to edit this tab.</t>
  </si>
  <si>
    <t xml:space="preserve">Month</t>
  </si>
  <si>
    <t xml:space="preserve">Month ending</t>
  </si>
  <si>
    <t xml:space="preserve">HIRES</t>
  </si>
  <si>
    <t xml:space="preserve">Hire 1 - recurring loaded cost</t>
  </si>
  <si>
    <t xml:space="preserve">Hire 1 - one-time hiring cost</t>
  </si>
  <si>
    <t xml:space="preserve">Hire 1 - benefit (ramped)</t>
  </si>
  <si>
    <t xml:space="preserve">Hire 1 - NET cash impact</t>
  </si>
  <si>
    <t xml:space="preserve">Hire 2 - recurring loaded cost</t>
  </si>
  <si>
    <t xml:space="preserve">Hire 2 - one-time hiring cost</t>
  </si>
  <si>
    <t xml:space="preserve">Hire 2 - benefit (ramped)</t>
  </si>
  <si>
    <t xml:space="preserve">Hire 2 - NET cash impact</t>
  </si>
  <si>
    <t xml:space="preserve">Hire 3 - recurring loaded cost</t>
  </si>
  <si>
    <t xml:space="preserve">Hire 3 - one-time hiring cost</t>
  </si>
  <si>
    <t xml:space="preserve">Hire 3 - benefit (ramped)</t>
  </si>
  <si>
    <t xml:space="preserve">Hire 3 - NET cash impact</t>
  </si>
  <si>
    <t xml:space="preserve">Hire 4 - recurring loaded cost</t>
  </si>
  <si>
    <t xml:space="preserve">Hire 4 - one-time hiring cost</t>
  </si>
  <si>
    <t xml:space="preserve">Hire 4 - benefit (ramped)</t>
  </si>
  <si>
    <t xml:space="preserve">Hire 4 - NET cash impact</t>
  </si>
  <si>
    <t xml:space="preserve">Hire 5 - recurring loaded cost</t>
  </si>
  <si>
    <t xml:space="preserve">Hire 5 - one-time hiring cost</t>
  </si>
  <si>
    <t xml:space="preserve">Hire 5 - benefit (ramped)</t>
  </si>
  <si>
    <t xml:space="preserve">Hire 5 - NET cash impact</t>
  </si>
  <si>
    <t xml:space="preserve">Hire 6 - recurring loaded cost</t>
  </si>
  <si>
    <t xml:space="preserve">Hire 6 - one-time hiring cost</t>
  </si>
  <si>
    <t xml:space="preserve">Hire 6 - benefit (ramped)</t>
  </si>
  <si>
    <t xml:space="preserve">Hire 6 - NET cash impact</t>
  </si>
  <si>
    <t xml:space="preserve">Total hire cost</t>
  </si>
  <si>
    <t xml:space="preserve">Total hire benefit</t>
  </si>
  <si>
    <t xml:space="preserve">TOTAL HIRE NET</t>
  </si>
  <si>
    <t xml:space="preserve">EQUIPMENT</t>
  </si>
  <si>
    <t xml:space="preserve">Asset 1 - cash at purchase</t>
  </si>
  <si>
    <t xml:space="preserve">Asset 1 - loan proceeds</t>
  </si>
  <si>
    <t xml:space="preserve">Asset 1 - loan payment</t>
  </si>
  <si>
    <t xml:space="preserve">Asset 1 -    interest portion</t>
  </si>
  <si>
    <t xml:space="preserve">Asset 1 -    principal portion</t>
  </si>
  <si>
    <t xml:space="preserve">Asset 1 - operating &amp; lease cost</t>
  </si>
  <si>
    <t xml:space="preserve">Asset 1 - benefit (ramped)</t>
  </si>
  <si>
    <t xml:space="preserve">Asset 1 - depreciation (tax only)</t>
  </si>
  <si>
    <t xml:space="preserve">Asset 1 - net cash (unlevered, pre-tax)</t>
  </si>
  <si>
    <t xml:space="preserve">Asset 2 - cash at purchase</t>
  </si>
  <si>
    <t xml:space="preserve">Asset 2 - loan proceeds</t>
  </si>
  <si>
    <t xml:space="preserve">Asset 2 - loan payment</t>
  </si>
  <si>
    <t xml:space="preserve">Asset 2 -    interest portion</t>
  </si>
  <si>
    <t xml:space="preserve">Asset 2 -    principal portion</t>
  </si>
  <si>
    <t xml:space="preserve">Asset 2 - operating &amp; lease cost</t>
  </si>
  <si>
    <t xml:space="preserve">Asset 2 - benefit (ramped)</t>
  </si>
  <si>
    <t xml:space="preserve">Asset 2 - depreciation (tax only)</t>
  </si>
  <si>
    <t xml:space="preserve">Asset 2 - net cash (unlevered, pre-tax)</t>
  </si>
  <si>
    <t xml:space="preserve">Asset 3 - cash at purchase</t>
  </si>
  <si>
    <t xml:space="preserve">Asset 3 - loan proceeds</t>
  </si>
  <si>
    <t xml:space="preserve">Asset 3 - loan payment</t>
  </si>
  <si>
    <t xml:space="preserve">Asset 3 -    interest portion</t>
  </si>
  <si>
    <t xml:space="preserve">Asset 3 -    principal portion</t>
  </si>
  <si>
    <t xml:space="preserve">Asset 3 - operating &amp; lease cost</t>
  </si>
  <si>
    <t xml:space="preserve">Asset 3 - benefit (ramped)</t>
  </si>
  <si>
    <t xml:space="preserve">Asset 3 - depreciation (tax only)</t>
  </si>
  <si>
    <t xml:space="preserve">Asset 3 - net cash (unlevered, pre-tax)</t>
  </si>
  <si>
    <t xml:space="preserve">Asset 4 - cash at purchase</t>
  </si>
  <si>
    <t xml:space="preserve">Asset 4 - loan proceeds</t>
  </si>
  <si>
    <t xml:space="preserve">Asset 4 - loan payment</t>
  </si>
  <si>
    <t xml:space="preserve">Asset 4 -    interest portion</t>
  </si>
  <si>
    <t xml:space="preserve">Asset 4 -    principal portion</t>
  </si>
  <si>
    <t xml:space="preserve">Asset 4 - operating &amp; lease cost</t>
  </si>
  <si>
    <t xml:space="preserve">Asset 4 - benefit (ramped)</t>
  </si>
  <si>
    <t xml:space="preserve">Asset 4 - depreciation (tax only)</t>
  </si>
  <si>
    <t xml:space="preserve">Asset 4 - net cash (unlevered, pre-tax)</t>
  </si>
  <si>
    <t xml:space="preserve">Total equipment cash at purchase (capex)</t>
  </si>
  <si>
    <t xml:space="preserve">Total equipment loan proceeds</t>
  </si>
  <si>
    <t xml:space="preserve">Total equipment loan payments</t>
  </si>
  <si>
    <t xml:space="preserve">Total equipment interest</t>
  </si>
  <si>
    <t xml:space="preserve">Total equipment principal</t>
  </si>
  <si>
    <t xml:space="preserve">Total equipment operating &amp; lease cost</t>
  </si>
  <si>
    <t xml:space="preserve">Total equipment benefit</t>
  </si>
  <si>
    <t xml:space="preserve">Total equipment depreciation</t>
  </si>
  <si>
    <t xml:space="preserve">TOTAL EQUIPMENT NET (unlevered, pre-tax)</t>
  </si>
  <si>
    <t xml:space="preserve">OTHER INITIATIVES</t>
  </si>
  <si>
    <t xml:space="preserve">Initiative 1 - one-time cost</t>
  </si>
  <si>
    <t xml:space="preserve">Initiative 1 - recurring cost</t>
  </si>
  <si>
    <t xml:space="preserve">Initiative 1 - benefit (ramped)</t>
  </si>
  <si>
    <t xml:space="preserve">Initiative 1 - NET cash impact</t>
  </si>
  <si>
    <t xml:space="preserve">Initiative 2 - one-time cost</t>
  </si>
  <si>
    <t xml:space="preserve">Initiative 2 - recurring cost</t>
  </si>
  <si>
    <t xml:space="preserve">Initiative 2 - benefit (ramped)</t>
  </si>
  <si>
    <t xml:space="preserve">Initiative 2 - NET cash impact</t>
  </si>
  <si>
    <t xml:space="preserve">Initiative 3 - one-time cost</t>
  </si>
  <si>
    <t xml:space="preserve">Initiative 3 - recurring cost</t>
  </si>
  <si>
    <t xml:space="preserve">Initiative 3 - benefit (ramped)</t>
  </si>
  <si>
    <t xml:space="preserve">Initiative 3 - NET cash impact</t>
  </si>
  <si>
    <t xml:space="preserve">Initiative 4 - one-time cost</t>
  </si>
  <si>
    <t xml:space="preserve">Initiative 4 - recurring cost</t>
  </si>
  <si>
    <t xml:space="preserve">Initiative 4 - benefit (ramped)</t>
  </si>
  <si>
    <t xml:space="preserve">Initiative 4 - NET cash impact</t>
  </si>
  <si>
    <t xml:space="preserve">Total other initiative cost</t>
  </si>
  <si>
    <t xml:space="preserve">Total other initiative benefit</t>
  </si>
  <si>
    <t xml:space="preserve">TOTAL OTHER NET</t>
  </si>
  <si>
    <t xml:space="preserve">COMBINED</t>
  </si>
  <si>
    <t xml:space="preserve">Combined net cash impact (pre-tax; equipment unlevered)</t>
  </si>
  <si>
    <t xml:space="preserve">Cumulative combined net cash (pre-tax)</t>
  </si>
  <si>
    <t xml:space="preserve">Total benefits - all initiatives</t>
  </si>
  <si>
    <t xml:space="preserve">Total cash operating costs - all initiatives</t>
  </si>
  <si>
    <t xml:space="preserve">Upfront cash out the door (after financing)</t>
  </si>
  <si>
    <t xml:space="preserve">AFTER-TAX NET CASH BY INITIATIVE - the basis for NPV, IRR and payback</t>
  </si>
  <si>
    <t xml:space="preserve">Hire 1 after-tax net</t>
  </si>
  <si>
    <t xml:space="preserve">Hire 2 after-tax net</t>
  </si>
  <si>
    <t xml:space="preserve">Hire 3 after-tax net</t>
  </si>
  <si>
    <t xml:space="preserve">Hire 4 after-tax net</t>
  </si>
  <si>
    <t xml:space="preserve">Hire 5 after-tax net</t>
  </si>
  <si>
    <t xml:space="preserve">Hire 6 after-tax net</t>
  </si>
  <si>
    <t xml:space="preserve">Asset 1 after-tax net</t>
  </si>
  <si>
    <t xml:space="preserve">Asset 2 after-tax net</t>
  </si>
  <si>
    <t xml:space="preserve">Asset 3 after-tax net</t>
  </si>
  <si>
    <t xml:space="preserve">Asset 4 after-tax net</t>
  </si>
  <si>
    <t xml:space="preserve">Initiative 1 after-tax net</t>
  </si>
  <si>
    <t xml:space="preserve">Initiative 2 after-tax net</t>
  </si>
  <si>
    <t xml:space="preserve">Initiative 3 after-tax net</t>
  </si>
  <si>
    <t xml:space="preserve">Initiative 4 after-tax net</t>
  </si>
  <si>
    <t xml:space="preserve">All hires after-tax net</t>
  </si>
  <si>
    <t xml:space="preserve">All equipment after-tax net</t>
  </si>
  <si>
    <t xml:space="preserve">All other initiatives after-tax net</t>
  </si>
  <si>
    <t xml:space="preserve">TOTAL after-tax net</t>
  </si>
  <si>
    <t xml:space="preserve">CUMULATIVE AFTER-TAX NET CASH - payback workings (cash only, no terminal value)</t>
  </si>
  <si>
    <t xml:space="preserve">Hire 1 cumulative</t>
  </si>
  <si>
    <t xml:space="preserve">Hire 2 cumulative</t>
  </si>
  <si>
    <t xml:space="preserve">Hire 3 cumulative</t>
  </si>
  <si>
    <t xml:space="preserve">Hire 4 cumulative</t>
  </si>
  <si>
    <t xml:space="preserve">Hire 5 cumulative</t>
  </si>
  <si>
    <t xml:space="preserve">Hire 6 cumulative</t>
  </si>
  <si>
    <t xml:space="preserve">Asset 1 cumulative</t>
  </si>
  <si>
    <t xml:space="preserve">Asset 2 cumulative</t>
  </si>
  <si>
    <t xml:space="preserve">Asset 3 cumulative</t>
  </si>
  <si>
    <t xml:space="preserve">Asset 4 cumulative</t>
  </si>
  <si>
    <t xml:space="preserve">Initiative 1 cumulative</t>
  </si>
  <si>
    <t xml:space="preserve">Initiative 2 cumulative</t>
  </si>
  <si>
    <t xml:space="preserve">Initiative 3 cumulative</t>
  </si>
  <si>
    <t xml:space="preserve">Initiative 4 cumulative</t>
  </si>
  <si>
    <t xml:space="preserve">All hires cumulative</t>
  </si>
  <si>
    <t xml:space="preserve">All equipment cumulative</t>
  </si>
  <si>
    <t xml:space="preserve">All other initiatives cumulative</t>
  </si>
  <si>
    <t xml:space="preserve">TOTAL cumulative</t>
  </si>
  <si>
    <t xml:space="preserve">AFTER-TAX NET INCLUDING TERMINAL VALUE - used for NPV and IRR only</t>
  </si>
  <si>
    <t xml:space="preserve">Hire 1 after-tax net incl. terminal value</t>
  </si>
  <si>
    <t xml:space="preserve">Hire 2 after-tax net incl. terminal value</t>
  </si>
  <si>
    <t xml:space="preserve">Hire 3 after-tax net incl. terminal value</t>
  </si>
  <si>
    <t xml:space="preserve">Hire 4 after-tax net incl. terminal value</t>
  </si>
  <si>
    <t xml:space="preserve">Hire 5 after-tax net incl. terminal value</t>
  </si>
  <si>
    <t xml:space="preserve">Hire 6 after-tax net incl. terminal value</t>
  </si>
  <si>
    <t xml:space="preserve">Asset 1 after-tax net incl. terminal value</t>
  </si>
  <si>
    <t xml:space="preserve">Asset 2 after-tax net incl. terminal value</t>
  </si>
  <si>
    <t xml:space="preserve">Asset 3 after-tax net incl. terminal value</t>
  </si>
  <si>
    <t xml:space="preserve">Asset 4 after-tax net incl. terminal value</t>
  </si>
  <si>
    <t xml:space="preserve">Initiative 1 after-tax net incl. terminal value</t>
  </si>
  <si>
    <t xml:space="preserve">Initiative 2 after-tax net incl. terminal value</t>
  </si>
  <si>
    <t xml:space="preserve">Initiative 3 after-tax net incl. terminal value</t>
  </si>
  <si>
    <t xml:space="preserve">Initiative 4 after-tax net incl. terminal value</t>
  </si>
  <si>
    <t xml:space="preserve">All hires - incl. terminal value</t>
  </si>
  <si>
    <t xml:space="preserve">All equipment - incl. terminal value</t>
  </si>
  <si>
    <t xml:space="preserve">All other initiatives - incl. terminal value</t>
  </si>
  <si>
    <t xml:space="preserve">TOTAL - incl. terminal value</t>
  </si>
  <si>
    <t xml:space="preserve">MONTHLY CASH FLOW - 24 months, baseline plus the initiatives you switched on</t>
  </si>
  <si>
    <t xml:space="preserve">Change Include? on the input tabs, or the scenario on the Assumptions tab, and this restates instantly.</t>
  </si>
  <si>
    <t xml:space="preserve">OPERATING PERFORMANCE - BASELINE (business as it is today)</t>
  </si>
  <si>
    <t xml:space="preserve">Revenue</t>
  </si>
  <si>
    <t xml:space="preserve">Cost of goods sold</t>
  </si>
  <si>
    <t xml:space="preserve">Gross profit</t>
  </si>
  <si>
    <t xml:space="preserve">Operating expenses</t>
  </si>
  <si>
    <t xml:space="preserve">EBITDA - baseline</t>
  </si>
  <si>
    <t xml:space="preserve">INITIATIVE IMPACT</t>
  </si>
  <si>
    <t xml:space="preserve">New hire costs (recurring + one-time)</t>
  </si>
  <si>
    <t xml:space="preserve">New hire benefits</t>
  </si>
  <si>
    <t xml:space="preserve">Equipment operating &amp; lease cost</t>
  </si>
  <si>
    <t xml:space="preserve">Equipment benefits</t>
  </si>
  <si>
    <t xml:space="preserve">Other initiative costs</t>
  </si>
  <si>
    <t xml:space="preserve">Other initiative benefits</t>
  </si>
  <si>
    <t xml:space="preserve">Total initiative EBITDA impact</t>
  </si>
  <si>
    <t xml:space="preserve">EBITDA - WITH INITIATIVES</t>
  </si>
  <si>
    <t xml:space="preserve">EBITDA margin %</t>
  </si>
  <si>
    <t xml:space="preserve">NON-CASH, INTEREST &amp; TAX</t>
  </si>
  <si>
    <t xml:space="preserve">Depreciation - existing assets</t>
  </si>
  <si>
    <t xml:space="preserve">Depreciation - new equipment</t>
  </si>
  <si>
    <t xml:space="preserve">Interest - existing debt</t>
  </si>
  <si>
    <t xml:space="preserve">Interest - new equipment loans</t>
  </si>
  <si>
    <t xml:space="preserve">Pre-tax income</t>
  </si>
  <si>
    <t xml:space="preserve">Income tax</t>
  </si>
  <si>
    <t xml:space="preserve">Net income</t>
  </si>
  <si>
    <t xml:space="preserve">CASH FLOW</t>
  </si>
  <si>
    <t xml:space="preserve">Add back depreciation</t>
  </si>
  <si>
    <t xml:space="preserve">(Increase) / decrease in accounts receivable</t>
  </si>
  <si>
    <t xml:space="preserve">Increase / (decrease) in accounts payable</t>
  </si>
  <si>
    <t xml:space="preserve">(Increase) / decrease in inventory</t>
  </si>
  <si>
    <t xml:space="preserve">CASH FROM OPERATIONS</t>
  </si>
  <si>
    <t xml:space="preserve">Capital expenditures</t>
  </si>
  <si>
    <t xml:space="preserve">CASH FROM INVESTING</t>
  </si>
  <si>
    <t xml:space="preserve">Equipment loan proceeds</t>
  </si>
  <si>
    <t xml:space="preserve">Equipment loan principal payments</t>
  </si>
  <si>
    <t xml:space="preserve">Existing debt principal payments</t>
  </si>
  <si>
    <t xml:space="preserve">Owner distributions / other financing (input)</t>
  </si>
  <si>
    <t xml:space="preserve">CASH FROM FINANCING</t>
  </si>
  <si>
    <t xml:space="preserve">NET CHANGE IN CASH</t>
  </si>
  <si>
    <t xml:space="preserve">Beginning cash</t>
  </si>
  <si>
    <t xml:space="preserve">ENDING CASH</t>
  </si>
  <si>
    <t xml:space="preserve">Surplus / (shortfall) vs. minimum</t>
  </si>
  <si>
    <t xml:space="preserve">Line of credit availability</t>
  </si>
  <si>
    <t xml:space="preserve">Total liquidity (cash + line)</t>
  </si>
  <si>
    <t xml:space="preserve">MEMO - WHAT THE BANK AND THE BOARD WILL ASK</t>
  </si>
  <si>
    <t xml:space="preserve">EBITDA - trailing 12 months (annualised early)</t>
  </si>
  <si>
    <t xml:space="preserve">Total debt service (P&amp;I)</t>
  </si>
  <si>
    <t xml:space="preserve">Debt service coverage (TTM EBITDA / annual debt service)</t>
  </si>
  <si>
    <t xml:space="preserve">Months of cash on hand</t>
  </si>
  <si>
    <t xml:space="preserve">Cumulative net cash impact of initiatives (pre-tax)</t>
  </si>
  <si>
    <t xml:space="preserve">13-WEEK CASH FLOW - the near-term liquidity view</t>
  </si>
  <si>
    <t xml:space="preserve">Derived from the monthly model and spread evenly across the weeks of each month, with the DSO / DPO lag applied. Override any line with your own timing if you know the actual dates.</t>
  </si>
  <si>
    <t xml:space="preserve">Week</t>
  </si>
  <si>
    <t xml:space="preserve">Week ending</t>
  </si>
  <si>
    <t xml:space="preserve">Model month</t>
  </si>
  <si>
    <t xml:space="preserve">CASH RECEIPTS</t>
  </si>
  <si>
    <t xml:space="preserve">Collections - baseline revenue</t>
  </si>
  <si>
    <t xml:space="preserve">Collections - initiative benefits</t>
  </si>
  <si>
    <t xml:space="preserve">Equipment loan / financing proceeds</t>
  </si>
  <si>
    <t xml:space="preserve">Other receipts (input)</t>
  </si>
  <si>
    <t xml:space="preserve">TOTAL RECEIPTS</t>
  </si>
  <si>
    <t xml:space="preserve">CASH DISBURSEMENTS</t>
  </si>
  <si>
    <t xml:space="preserve">Payroll &amp; benefits - existing team</t>
  </si>
  <si>
    <t xml:space="preserve">Payroll &amp; benefits - new hires</t>
  </si>
  <si>
    <t xml:space="preserve">Vendor &amp; COGS payments</t>
  </si>
  <si>
    <t xml:space="preserve">Other operating expenses</t>
  </si>
  <si>
    <t xml:space="preserve">Equipment operating &amp; lease</t>
  </si>
  <si>
    <t xml:space="preserve">Debt service - existing</t>
  </si>
  <si>
    <t xml:space="preserve">Debt service - equipment loans</t>
  </si>
  <si>
    <t xml:space="preserve">Income taxes</t>
  </si>
  <si>
    <t xml:space="preserve">Owner distributions / other (input)</t>
  </si>
  <si>
    <t xml:space="preserve">TOTAL DISBURSEMENTS</t>
  </si>
  <si>
    <t xml:space="preserve">NET WEEKLY CASH FLOW</t>
  </si>
  <si>
    <t xml:space="preserve">Note: weekly amounts are the monthly figure spread evenly over the weeks in the month, lagged by DSO for collections and DPO for vendor payments. Capital expenditure and loan proceeds are charged in the first week of their month. Replace any line with actual known timing - payroll dates, insurance renewals, tax deposits - before you take this to a lender.</t>
  </si>
  <si>
    <t xml:space="preserve">ROI DASHBOARD - the go / no-go page</t>
  </si>
  <si>
    <t xml:space="preserve">Cash out, cash in and net cash are pre-tax and tie to each other. NPV, IRR and payback are calculated AFTER TAX and unlevered - the full purchase price at the month of purchase, no loan proceeds or debt service, with the depreciation tax shield included - so the investment decision stays separate from the financing decision. They also credit a terminal value at month 24 for the life left in the hire or the asset - switch that off on the input tabs for a strict 24-month view. Verdict: GO = positive NPV and payback inside 12 months; WATCH = positive NPV but slower; NO-GO = negative NPV.</t>
  </si>
  <si>
    <t xml:space="preserve">Initiative</t>
  </si>
  <si>
    <t xml:space="preserve">Include?</t>
  </si>
  <si>
    <t xml:space="preserve">Upfront investment</t>
  </si>
  <si>
    <t xml:space="preserve">24-mo cash out</t>
  </si>
  <si>
    <t xml:space="preserve">24-mo cash in</t>
  </si>
  <si>
    <t xml:space="preserve">24-mo net cash</t>
  </si>
  <si>
    <t xml:space="preserve">Year-1 net cash</t>
  </si>
  <si>
    <t xml:space="preserve">ROI 24-mo</t>
  </si>
  <si>
    <t xml:space="preserve">Payback (mo)</t>
  </si>
  <si>
    <t xml:space="preserve">NPV after tax</t>
  </si>
  <si>
    <t xml:space="preserve">IRR after tax</t>
  </si>
  <si>
    <t xml:space="preserve">Breakeven revenue</t>
  </si>
  <si>
    <t xml:space="preserve">Verdict</t>
  </si>
  <si>
    <t xml:space="preserve">Hire</t>
  </si>
  <si>
    <t xml:space="preserve">Equipment</t>
  </si>
  <si>
    <t xml:space="preserve">Other</t>
  </si>
  <si>
    <t xml:space="preserve">ALL HIRES</t>
  </si>
  <si>
    <t xml:space="preserve">Subtotal</t>
  </si>
  <si>
    <t xml:space="preserve">-</t>
  </si>
  <si>
    <t xml:space="preserve">ALL EQUIPMENT</t>
  </si>
  <si>
    <t xml:space="preserve">ALL OTHER INITIATIVES</t>
  </si>
  <si>
    <t xml:space="preserve">TOTAL PORTFOLIO</t>
  </si>
  <si>
    <t xml:space="preserve">Total</t>
  </si>
  <si>
    <t xml:space="preserve">PORTFOLIO &amp; LIQUIDITY SUMMARY - what the CEO actually asks</t>
  </si>
  <si>
    <t xml:space="preserve">Client</t>
  </si>
  <si>
    <t xml:space="preserve">Scenario running</t>
  </si>
  <si>
    <t xml:space="preserve">Hurdle rate</t>
  </si>
  <si>
    <t xml:space="preserve">Initiatives switched on</t>
  </si>
  <si>
    <t xml:space="preserve">Headcount added</t>
  </si>
  <si>
    <t xml:space="preserve">New fully loaded annual payroll</t>
  </si>
  <si>
    <t xml:space="preserve">Total capital expenditure (cash)</t>
  </si>
  <si>
    <t xml:space="preserve">Upfront investment before financing</t>
  </si>
  <si>
    <t xml:space="preserve">Cash out the door up front (after financing)</t>
  </si>
  <si>
    <t xml:space="preserve">Portfolio NPV @ hurdle rate</t>
  </si>
  <si>
    <t xml:space="preserve">Portfolio payback (months)</t>
  </si>
  <si>
    <t xml:space="preserve">Lowest projected cash balance (24 mo)</t>
  </si>
  <si>
    <t xml:space="preserve">Month of lowest cash</t>
  </si>
  <si>
    <t xml:space="preserve">Minimum cash target breached?</t>
  </si>
  <si>
    <t xml:space="preserve">Lowest 13-week cash balance</t>
  </si>
  <si>
    <t xml:space="preserve">Lowest debt service coverage (24 mo)</t>
  </si>
  <si>
    <t xml:space="preserve">Year-1 EBITDA - baseline, do nothing</t>
  </si>
  <si>
    <t xml:space="preserve">Year-1 EBITDA - with these initiatives</t>
  </si>
  <si>
    <t xml:space="preserve">Year-1 EBITDA difference</t>
  </si>
  <si>
    <t xml:space="preserve">Year-2 EBITDA - with these initiatives</t>
  </si>
  <si>
    <t xml:space="preserve">WHAT A CEO WILL ASK - and where the model answers it</t>
  </si>
  <si>
    <t xml:space="preserve">Work down this list before you present. Anything you cannot answer is the question you will be asked first.</t>
  </si>
  <si>
    <t xml:space="preserve">THE COST QUESTIONS</t>
  </si>
  <si>
    <t xml:space="preserve">What does this actually cost me, not the salary?</t>
  </si>
  <si>
    <t xml:space="preserve">Fully loaded cost - salary, bonus, FICA, FUTA/SUTA, workers' comp, health, 401(k), payroll fees, software seats. Usually 1.25x-1.45x base salary.</t>
  </si>
  <si>
    <t xml:space="preserve">Hire Analysis, row 28</t>
  </si>
  <si>
    <t xml:space="preserve">What does it cost me on day one?</t>
  </si>
  <si>
    <t xml:space="preserve">Recruiting fee, onboarding, workstation, tools, deposits, freight and installation. All charged in the start month, which is why month one always looks worst.</t>
  </si>
  <si>
    <t xml:space="preserve">Hire Analysis row 39 / Equipment row 28</t>
  </si>
  <si>
    <t xml:space="preserve">What are the costs nobody put in the request?</t>
  </si>
  <si>
    <t xml:space="preserve">Maintenance contracts, insurance, consumables, software seats, training, space, supervision, and the replacement cost if the hire does not work out.</t>
  </si>
  <si>
    <t xml:space="preserve">Equipment rows 32-37 / Hire row 61</t>
  </si>
  <si>
    <t xml:space="preserve">What is the all-in annual cost of ownership?</t>
  </si>
  <si>
    <t xml:space="preserve">Financing or depreciation plus every operating cost, so you can compare owning against renting, outsourcing or doing nothing.</t>
  </si>
  <si>
    <t xml:space="preserve">Equipment Analysis, row 75</t>
  </si>
  <si>
    <t xml:space="preserve">THE RETURN QUESTIONS</t>
  </si>
  <si>
    <t xml:space="preserve">How much has this got to produce just to break even?</t>
  </si>
  <si>
    <t xml:space="preserve">Loaded cost divided by gross margin. The single most useful sentence you can give a CEO: 'this person has to bring in $X of revenue a year to pay for themselves.'</t>
  </si>
  <si>
    <t xml:space="preserve">Hire row 59 / Equipment row 76</t>
  </si>
  <si>
    <t xml:space="preserve">When does it turn cash positive?</t>
  </si>
  <si>
    <t xml:space="preserve">Payback in months from the start, undiscounted. Anything past 18 months on a hire deserves a hard second look.</t>
  </si>
  <si>
    <t xml:space="preserve">ROI Dashboard, column J</t>
  </si>
  <si>
    <t xml:space="preserve">Is it worth more than the alternatives?</t>
  </si>
  <si>
    <t xml:space="preserve">NPV at your hurdle rate and IRR. If NPV is negative the money is worth more somewhere else - including sitting in the account.</t>
  </si>
  <si>
    <t xml:space="preserve">ROI Dashboard, columns K and L</t>
  </si>
  <si>
    <t xml:space="preserve">What is the return on the money?</t>
  </si>
  <si>
    <t xml:space="preserve">24-month net cash over 24-month cost, plus the steady-state annual net once the ramp is finished.</t>
  </si>
  <si>
    <t xml:space="preserve">ROI Dashboard column I / Hire row 58</t>
  </si>
  <si>
    <t xml:space="preserve">How long before it is fully productive?</t>
  </si>
  <si>
    <t xml:space="preserve">The ramp. A hire that takes six months to ramp delivers roughly half of year one. Optimism here is the most common way these models lie.</t>
  </si>
  <si>
    <t xml:space="preserve">Hire row 50 / Equipment row 48</t>
  </si>
  <si>
    <t xml:space="preserve">THE CASH QUESTIONS - the ones that actually kill deals</t>
  </si>
  <si>
    <t xml:space="preserve">Can we afford it, and when is it tightest?</t>
  </si>
  <si>
    <t xml:space="preserve">Lowest projected cash balance across 24 months and the month it happens. Profitable decisions still fail on timing.</t>
  </si>
  <si>
    <t xml:space="preserve">ROI Dashboard rows 42-43</t>
  </si>
  <si>
    <t xml:space="preserve">Do we breach our minimum cash or our covenant?</t>
  </si>
  <si>
    <t xml:space="preserve">Ending cash against the minimum cash target, month by month, plus debt service coverage.</t>
  </si>
  <si>
    <t xml:space="preserve">Monthly Cash Flow rows 54 and 61</t>
  </si>
  <si>
    <t xml:space="preserve">What does it do to the next 13 weeks?</t>
  </si>
  <si>
    <t xml:space="preserve">The near-term liquidity view, with the DSO lag on collections. This is what the bank asks for.</t>
  </si>
  <si>
    <t xml:space="preserve">13-Week Cash tab</t>
  </si>
  <si>
    <t xml:space="preserve">What happens to working capital?</t>
  </si>
  <si>
    <t xml:space="preserve">New revenue ties up cash in receivables before it becomes cash. Growth consumes cash - the faster you grow the more it consumes.</t>
  </si>
  <si>
    <t xml:space="preserve">Monthly Cash Flow rows 36-38</t>
  </si>
  <si>
    <t xml:space="preserve">Do we need the line of credit, and how much headroom is left?</t>
  </si>
  <si>
    <t xml:space="preserve">Total liquidity is cash plus the undrawn line. If the plan only works by drawing the line, say so out loud.</t>
  </si>
  <si>
    <t xml:space="preserve">Monthly Cash Flow row 56</t>
  </si>
  <si>
    <t xml:space="preserve">THE 'WHAT IF YOU ARE WRONG' QUESTIONS</t>
  </si>
  <si>
    <t xml:space="preserve">What does the downside look like?</t>
  </si>
  <si>
    <t xml:space="preserve">Switch the scenario to Downside: 60% of the benefit, 110% of the cost, slower growth. If it still works, you have a decision. If it does not, you have a risk to manage.</t>
  </si>
  <si>
    <t xml:space="preserve">Assumptions, scenario switch</t>
  </si>
  <si>
    <t xml:space="preserve">Which single assumption breaks it?</t>
  </si>
  <si>
    <t xml:space="preserve">Flex one variable at a time - ramp months, gross margin, the benefit - and watch NPV. Whatever moves it most is what you manage after approval.</t>
  </si>
  <si>
    <t xml:space="preserve">Assumptions / input tabs</t>
  </si>
  <si>
    <t xml:space="preserve">What if we delay three or six months?</t>
  </si>
  <si>
    <t xml:space="preserve">Move the start month. You will see the cost of waiting, which is usually the strongest argument for acting now - or the cheapest insurance.</t>
  </si>
  <si>
    <t xml:space="preserve">Hire row 8 / Equipment row 8</t>
  </si>
  <si>
    <t xml:space="preserve">What if we do nothing?</t>
  </si>
  <si>
    <t xml:space="preserve">The baseline runs with every initiative switched off. Compare year-1 EBITDA with and without.</t>
  </si>
  <si>
    <t xml:space="preserve">ROI Dashboard rows 48-49</t>
  </si>
  <si>
    <t xml:space="preserve">THE 'IS THERE A CHEAPER WAY' QUESTIONS</t>
  </si>
  <si>
    <t xml:space="preserve">Contractor, temp, overtime or outsource instead of a hire?</t>
  </si>
  <si>
    <t xml:space="preserve">Compare the fully loaded cost per hour against the contract rate. Contractors cost more per hour and far less per year of commitment.</t>
  </si>
  <si>
    <t xml:space="preserve">Hire Analysis, row 32</t>
  </si>
  <si>
    <t xml:space="preserve">Buy, finance or lease?</t>
  </si>
  <si>
    <t xml:space="preserve">Nominal after-tax cost for all three side by side. Then change the method and compare NPV - that is the answer that accounts for the cash you keep free.</t>
  </si>
  <si>
    <t xml:space="preserve">Equipment rows 62-71</t>
  </si>
  <si>
    <t xml:space="preserve">Used instead of new? Rent for the first year?</t>
  </si>
  <si>
    <t xml:space="preserve">Model it as a second asset column with a lower price and a shorter life, and compare the two NPVs.</t>
  </si>
  <si>
    <t xml:space="preserve">Equipment Analysis, spare columns</t>
  </si>
  <si>
    <t xml:space="preserve">Can we get the same outcome with software or process instead?</t>
  </si>
  <si>
    <t xml:space="preserve">Model it on the Other Initiatives tab and put it in the same ranking.</t>
  </si>
  <si>
    <t xml:space="preserve">Other Initiatives tab</t>
  </si>
  <si>
    <t xml:space="preserve">THE TAX AND STRUCTURE QUESTIONS</t>
  </si>
  <si>
    <t xml:space="preserve">What does this do to our tax bill?</t>
  </si>
  <si>
    <t xml:space="preserve">Section 179 or bonus depreciation can expense most of an asset in year one. That is a timing benefit, not free money - confirm the current-year limits with the tax preparer.</t>
  </si>
  <si>
    <t xml:space="preserve">Equipment rows 54-59</t>
  </si>
  <si>
    <t xml:space="preserve">Does financing change the tax answer?</t>
  </si>
  <si>
    <t xml:space="preserve">Interest is deductible; principal is not. Depreciation runs on the asset regardless of how you paid for it.</t>
  </si>
  <si>
    <t xml:space="preserve">Equipment rows 68-70</t>
  </si>
  <si>
    <t xml:space="preserve">What does it do to the balance sheet and our leverage?</t>
  </si>
  <si>
    <t xml:space="preserve">New debt raises debt service and lowers coverage. Check the coverage line against your covenant.</t>
  </si>
  <si>
    <t xml:space="preserve">Monthly Cash Flow rows 60-61</t>
  </si>
  <si>
    <t xml:space="preserve">THE QUESTIONS AFTER YOU SAY YES</t>
  </si>
  <si>
    <t xml:space="preserve">How will we know in 90 days whether it is working?</t>
  </si>
  <si>
    <t xml:space="preserve">Pick two or three leading indicators before you approve - utilisation hours, pipeline touched, hours of overtime removed, days sales outstanding.</t>
  </si>
  <si>
    <t xml:space="preserve">Agree and write them down</t>
  </si>
  <si>
    <t xml:space="preserve">Who owns the result?</t>
  </si>
  <si>
    <t xml:space="preserve">One name against the benefit, not a department. Unowned benefits do not show up.</t>
  </si>
  <si>
    <t xml:space="preserve">When do we revisit, and what would make us stop?</t>
  </si>
  <si>
    <t xml:space="preserve">Set the review date and the kill criteria at approval, while everyone is still objective.</t>
  </si>
  <si>
    <t xml:space="preserve">What else does this trigger?</t>
  </si>
  <si>
    <t xml:space="preserve">A hire may need a supervisor, space, insurance, or a second person. An asset may need power, permits, a maintenance contract, or an operator. Model those too.</t>
  </si>
  <si>
    <t xml:space="preserve">Add as further rows</t>
  </si>
  <si>
    <t xml:space="preserve">THINGS WORTH ADDING TO THIS TEMPLATE LATER</t>
  </si>
  <si>
    <t xml:space="preserve">A headcount plan by department</t>
  </si>
  <si>
    <t xml:space="preserve">Roll every role into a single headcount and payroll schedule with effective dates and merit increases.</t>
  </si>
  <si>
    <t xml:space="preserve">A revenue build by customer or job</t>
  </si>
  <si>
    <t xml:space="preserve">Replace the single growth rate with a bottom-up build - backlog, pipeline, win rate.</t>
  </si>
  <si>
    <t xml:space="preserve">AR ageing driven collections</t>
  </si>
  <si>
    <t xml:space="preserve">Replace the DSO shortcut with an ageing-based collection curve for a sharper 13-week forecast.</t>
  </si>
  <si>
    <t xml:space="preserve">Covenant compliance certificate</t>
  </si>
  <si>
    <t xml:space="preserve">A ready-made schedule if the client is bank or sponsor backed.</t>
  </si>
  <si>
    <t xml:space="preserve">Sensitivity / tornado table</t>
  </si>
  <si>
    <t xml:space="preserve">One-variable and two-variable data tables on NPV.</t>
  </si>
  <si>
    <t xml:space="preserve">Acquisition module</t>
  </si>
  <si>
    <t xml:space="preserve">Purchase price, funding, synergies, integration cost, debt service - same test, bigger numbers.</t>
  </si>
</sst>
</file>

<file path=xl/styles.xml><?xml version="1.0" encoding="utf-8"?>
<styleSheet xmlns="http://schemas.openxmlformats.org/spreadsheetml/2006/main">
  <numFmts count="10">
    <numFmt numFmtId="164" formatCode="General"/>
    <numFmt numFmtId="165" formatCode="mmm\-yy"/>
    <numFmt numFmtId="166" formatCode="0.0%;\(0.0%\);\-"/>
    <numFmt numFmtId="167" formatCode="0.00%;\(0.00%\);\-"/>
    <numFmt numFmtId="168" formatCode="\$#,##0;&quot;($&quot;#,##0\);\-"/>
    <numFmt numFmtId="169" formatCode="#,##0;\(#,##0\);\-"/>
    <numFmt numFmtId="170" formatCode="#,##0.0;\(#,##0.0\);\-"/>
    <numFmt numFmtId="171" formatCode="0.00\x"/>
    <numFmt numFmtId="172" formatCode="\$#,##0.00;&quot;($&quot;#,##0.00\);\-"/>
    <numFmt numFmtId="173" formatCode="dd\-mmm\-yy"/>
  </numFmts>
  <fonts count="20">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b val="true"/>
      <sz val="13"/>
      <color rgb="FF44546A"/>
      <name val="Arial"/>
      <family val="0"/>
      <charset val="1"/>
    </font>
    <font>
      <i val="true"/>
      <sz val="10"/>
      <color rgb="FF44546A"/>
      <name val="Arial"/>
      <family val="0"/>
      <charset val="1"/>
    </font>
    <font>
      <b val="true"/>
      <sz val="10"/>
      <color rgb="FF1F3864"/>
      <name val="Arial"/>
      <family val="0"/>
      <charset val="1"/>
    </font>
    <font>
      <b val="true"/>
      <sz val="10"/>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i val="true"/>
      <sz val="9"/>
      <color rgb="FF7F7F7F"/>
      <name val="Arial"/>
      <family val="0"/>
      <charset val="1"/>
    </font>
    <font>
      <sz val="10"/>
      <color rgb="FF000000"/>
      <name val="Arial"/>
      <family val="0"/>
      <charset val="1"/>
    </font>
    <font>
      <b val="true"/>
      <sz val="10"/>
      <color rgb="FFFFFFFF"/>
      <name val="Arial"/>
      <family val="0"/>
      <charset val="1"/>
    </font>
    <font>
      <b val="true"/>
      <sz val="10"/>
      <color rgb="FF000000"/>
      <name val="Arial"/>
      <family val="0"/>
      <charset val="1"/>
    </font>
    <font>
      <b val="true"/>
      <sz val="18"/>
      <color rgb="FF000000"/>
      <name val="Calibri"/>
      <family val="2"/>
    </font>
    <font>
      <sz val="10"/>
      <color rgb="FF000000"/>
      <name val="Calibri"/>
      <family val="2"/>
    </font>
    <font>
      <b val="true"/>
      <sz val="10"/>
      <color rgb="FF000000"/>
      <name val="Calibri"/>
      <family val="2"/>
    </font>
  </fonts>
  <fills count="6">
    <fill>
      <patternFill patternType="none"/>
    </fill>
    <fill>
      <patternFill patternType="gray125"/>
    </fill>
    <fill>
      <patternFill patternType="solid">
        <fgColor rgb="FFD9E2F3"/>
        <bgColor rgb="FFD9D9D9"/>
      </patternFill>
    </fill>
    <fill>
      <patternFill patternType="solid">
        <fgColor rgb="FFFFF2CC"/>
        <bgColor rgb="FFF2F5FA"/>
      </patternFill>
    </fill>
    <fill>
      <patternFill patternType="solid">
        <fgColor rgb="FF1F3864"/>
        <bgColor rgb="FF404040"/>
      </patternFill>
    </fill>
    <fill>
      <patternFill patternType="solid">
        <fgColor rgb="FFF2F5FA"/>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style="thin">
        <color rgb="FF40404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true" applyProtection="false">
      <alignment horizontal="right" vertical="bottom" textRotation="0" wrapText="false" indent="0" shrinkToFit="false"/>
      <protection locked="true" hidden="false"/>
    </xf>
    <xf numFmtId="166" fontId="10" fillId="3" borderId="1" xfId="0" applyFont="true" applyBorder="true" applyAlignment="true" applyProtection="false">
      <alignment horizontal="right" vertical="bottom" textRotation="0" wrapText="false" indent="0" shrinkToFit="false"/>
      <protection locked="true" hidden="false"/>
    </xf>
    <xf numFmtId="167" fontId="14" fillId="0" borderId="1" xfId="0" applyFont="true" applyBorder="true" applyAlignment="true" applyProtection="false">
      <alignment horizontal="right" vertical="bottom" textRotation="0" wrapText="false" indent="0" shrinkToFit="false"/>
      <protection locked="true" hidden="false"/>
    </xf>
    <xf numFmtId="168" fontId="10" fillId="3" borderId="1" xfId="0" applyFont="true" applyBorder="true" applyAlignment="true" applyProtection="false">
      <alignment horizontal="right" vertical="bottom" textRotation="0" wrapText="false" indent="0" shrinkToFit="false"/>
      <protection locked="true" hidden="false"/>
    </xf>
    <xf numFmtId="167" fontId="10" fillId="3" borderId="1" xfId="0" applyFont="true" applyBorder="true" applyAlignment="true" applyProtection="false">
      <alignment horizontal="right" vertical="bottom" textRotation="0" wrapText="false" indent="0" shrinkToFit="false"/>
      <protection locked="true" hidden="false"/>
    </xf>
    <xf numFmtId="169" fontId="10" fillId="3" borderId="1" xfId="0" applyFont="true" applyBorder="true" applyAlignment="true" applyProtection="false">
      <alignment horizontal="right" vertical="bottom" textRotation="0" wrapText="false" indent="0" shrinkToFit="false"/>
      <protection locked="true" hidden="false"/>
    </xf>
    <xf numFmtId="170" fontId="10" fillId="3" borderId="1" xfId="0" applyFont="true" applyBorder="true" applyAlignment="true" applyProtection="false">
      <alignment horizontal="right" vertical="bottom" textRotation="0" wrapText="false" indent="0" shrinkToFit="false"/>
      <protection locked="true" hidden="false"/>
    </xf>
    <xf numFmtId="169" fontId="14" fillId="0" borderId="1" xfId="0" applyFont="true" applyBorder="true" applyAlignment="true" applyProtection="false">
      <alignment horizontal="right" vertical="bottom" textRotation="0" wrapText="false" indent="0" shrinkToFit="false"/>
      <protection locked="true" hidden="false"/>
    </xf>
    <xf numFmtId="164" fontId="15" fillId="4" borderId="0" xfId="0" applyFont="true" applyBorder="false" applyAlignment="true" applyProtection="false">
      <alignment horizontal="center" vertical="bottom" textRotation="0" wrapText="false" indent="0" shrinkToFit="false"/>
      <protection locked="true" hidden="false"/>
    </xf>
    <xf numFmtId="171" fontId="10" fillId="3" borderId="1" xfId="0" applyFont="true" applyBorder="true" applyAlignment="true" applyProtection="false">
      <alignment horizontal="center" vertical="bottom" textRotation="0" wrapText="false" indent="0" shrinkToFit="false"/>
      <protection locked="true" hidden="false"/>
    </xf>
    <xf numFmtId="171" fontId="14" fillId="0" borderId="1" xfId="0" applyFont="true" applyBorder="true" applyAlignment="true" applyProtection="false">
      <alignment horizontal="right"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68" fontId="14" fillId="0" borderId="1" xfId="0" applyFont="true" applyBorder="true" applyAlignment="true" applyProtection="false">
      <alignment horizontal="right" vertical="bottom" textRotation="0" wrapText="false" indent="0" shrinkToFit="false"/>
      <protection locked="true" hidden="false"/>
    </xf>
    <xf numFmtId="168" fontId="16" fillId="0" borderId="1" xfId="0" applyFont="true" applyBorder="true" applyAlignment="true" applyProtection="false">
      <alignment horizontal="right" vertical="bottom" textRotation="0" wrapText="false" indent="0" shrinkToFit="false"/>
      <protection locked="true" hidden="false"/>
    </xf>
    <xf numFmtId="166" fontId="14" fillId="0" borderId="1" xfId="0" applyFont="true" applyBorder="true" applyAlignment="true" applyProtection="false">
      <alignment horizontal="right" vertical="bottom" textRotation="0" wrapText="false" indent="0" shrinkToFit="false"/>
      <protection locked="true" hidden="false"/>
    </xf>
    <xf numFmtId="172" fontId="14" fillId="0" borderId="1" xfId="0" applyFont="true" applyBorder="true" applyAlignment="true" applyProtection="false">
      <alignment horizontal="right" vertical="bottom" textRotation="0" wrapText="false" indent="0" shrinkToFit="false"/>
      <protection locked="true" hidden="false"/>
    </xf>
    <xf numFmtId="172" fontId="10" fillId="3" borderId="1" xfId="0" applyFont="true" applyBorder="true" applyAlignment="true" applyProtection="false">
      <alignment horizontal="right" vertical="bottom" textRotation="0" wrapText="false" indent="0" shrinkToFit="false"/>
      <protection locked="true" hidden="false"/>
    </xf>
    <xf numFmtId="170" fontId="14" fillId="0" borderId="1" xfId="0" applyFont="true" applyBorder="true" applyAlignment="true" applyProtection="false">
      <alignment horizontal="right" vertical="bottom" textRotation="0" wrapText="false" indent="0" shrinkToFit="false"/>
      <protection locked="true" hidden="false"/>
    </xf>
    <xf numFmtId="164" fontId="16" fillId="0" borderId="1" xfId="0" applyFont="true" applyBorder="true" applyAlignment="true" applyProtection="false">
      <alignment horizontal="center" vertical="bottom" textRotation="0" wrapText="false" indent="0" shrinkToFit="false"/>
      <protection locked="true" hidden="false"/>
    </xf>
    <xf numFmtId="169" fontId="15" fillId="4" borderId="0" xfId="0" applyFont="true" applyBorder="false" applyAlignment="true" applyProtection="false">
      <alignment horizontal="center" vertical="bottom" textRotation="0" wrapText="false" indent="0" shrinkToFit="false"/>
      <protection locked="true" hidden="false"/>
    </xf>
    <xf numFmtId="165" fontId="14" fillId="0" borderId="0" xfId="0" applyFont="true" applyBorder="false" applyAlignment="true" applyProtection="false">
      <alignment horizontal="center" vertical="bottom" textRotation="0" wrapText="false" indent="0" shrinkToFit="false"/>
      <protection locked="true" hidden="false"/>
    </xf>
    <xf numFmtId="168" fontId="14" fillId="0" borderId="0" xfId="0" applyFont="true" applyBorder="false" applyAlignment="false" applyProtection="false">
      <alignment horizontal="general" vertical="bottom"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8" fontId="8" fillId="0" borderId="2" xfId="0" applyFont="true" applyBorder="tru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71" fontId="14" fillId="0" borderId="0" xfId="0" applyFont="true" applyBorder="false" applyAlignment="false" applyProtection="false">
      <alignment horizontal="general" vertical="bottom" textRotation="0" wrapText="false" indent="0" shrinkToFit="false"/>
      <protection locked="true" hidden="false"/>
    </xf>
    <xf numFmtId="170" fontId="14" fillId="0" borderId="0" xfId="0" applyFont="true" applyBorder="false" applyAlignment="false" applyProtection="false">
      <alignment horizontal="general" vertical="bottom" textRotation="0" wrapText="false" indent="0" shrinkToFit="false"/>
      <protection locked="true" hidden="false"/>
    </xf>
    <xf numFmtId="173" fontId="14" fillId="0" borderId="0" xfId="0" applyFont="true" applyBorder="false" applyAlignment="true" applyProtection="false">
      <alignment horizontal="center" vertical="bottom" textRotation="0" wrapText="false" indent="0" shrinkToFit="false"/>
      <protection locked="true" hidden="false"/>
    </xf>
    <xf numFmtId="169" fontId="13" fillId="0" borderId="0" xfId="0" applyFont="true" applyBorder="false" applyAlignment="true" applyProtection="false">
      <alignment horizontal="center" vertical="bottom" textRotation="0" wrapText="fals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9" fontId="14" fillId="0" borderId="1" xfId="0" applyFont="true" applyBorder="true" applyAlignment="true" applyProtection="false">
      <alignment horizontal="center" vertical="bottom" textRotation="0" wrapText="false" indent="0" shrinkToFit="false"/>
      <protection locked="true" hidden="false"/>
    </xf>
    <xf numFmtId="168" fontId="11" fillId="0" borderId="1" xfId="0" applyFont="true" applyBorder="true" applyAlignment="true" applyProtection="false">
      <alignment horizontal="right" vertical="bottom" textRotation="0" wrapText="false" indent="0" shrinkToFit="false"/>
      <protection locked="true" hidden="false"/>
    </xf>
    <xf numFmtId="164" fontId="14" fillId="0" borderId="1" xfId="0" applyFont="true" applyBorder="true" applyAlignment="true" applyProtection="false">
      <alignment horizontal="center"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center" vertical="bottom" textRotation="0" wrapText="false" indent="0" shrinkToFit="false"/>
      <protection locked="true" hidden="false"/>
    </xf>
    <xf numFmtId="168" fontId="8" fillId="5" borderId="1" xfId="0" applyFont="true" applyBorder="true" applyAlignment="true" applyProtection="false">
      <alignment horizontal="right" vertical="bottom" textRotation="0" wrapText="false" indent="0" shrinkToFit="false"/>
      <protection locked="true" hidden="false"/>
    </xf>
    <xf numFmtId="166" fontId="8" fillId="5" borderId="1" xfId="0" applyFont="true" applyBorder="true" applyAlignment="true" applyProtection="false">
      <alignment horizontal="right" vertical="bottom" textRotation="0" wrapText="false" indent="0" shrinkToFit="false"/>
      <protection locked="true" hidden="false"/>
    </xf>
    <xf numFmtId="169" fontId="8" fillId="5" borderId="1" xfId="0" applyFont="true" applyBorder="true" applyAlignment="true" applyProtection="false">
      <alignment horizontal="center" vertical="bottom" textRotation="0" wrapText="false" indent="0" shrinkToFit="false"/>
      <protection locked="true" hidden="false"/>
    </xf>
    <xf numFmtId="164" fontId="14" fillId="0" borderId="1" xfId="0" applyFont="true" applyBorder="true" applyAlignment="true" applyProtection="false">
      <alignment horizontal="right" vertical="bottom" textRotation="0" wrapText="false" indent="0" shrinkToFit="false"/>
      <protection locked="true" hidden="false"/>
    </xf>
    <xf numFmtId="165" fontId="14" fillId="0" borderId="1"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BE4B48"/>
      <rgbColor rgb="FFFFF2CC"/>
      <rgbColor rgb="FFF2F5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9E2F3"/>
      <rgbColor rgb="FFCCFFCC"/>
      <rgbColor rgb="FFFFFF99"/>
      <rgbColor rgb="FF99CCFF"/>
      <rgbColor rgb="FFFF99CC"/>
      <rgbColor rgb="FFCC99FF"/>
      <rgbColor rgb="FFFFCC99"/>
      <rgbColor rgb="FF4F81BD"/>
      <rgbColor rgb="FF33CCCC"/>
      <rgbColor rgb="FF99CC00"/>
      <rgbColor rgb="FFFFCC00"/>
      <rgbColor rgb="FFFF9900"/>
      <rgbColor rgb="FFFF6600"/>
      <rgbColor rgb="FF4A7EBB"/>
      <rgbColor rgb="FF878787"/>
      <rgbColor rgb="FF1F3864"/>
      <rgbColor rgb="FF339966"/>
      <rgbColor rgb="FF003300"/>
      <rgbColor rgb="FF333300"/>
      <rgbColor rgb="FF993300"/>
      <rgbColor rgb="FF993366"/>
      <rgbColor rgb="FF44546A"/>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Ending cash vs. minimum cash target</a:t>
            </a:r>
          </a:p>
        </c:rich>
      </c:tx>
      <c:overlay val="0"/>
      <c:spPr>
        <a:noFill/>
        <a:ln w="0">
          <a:noFill/>
        </a:ln>
      </c:spPr>
    </c:title>
    <c:autoTitleDeleted val="0"/>
    <c:plotArea>
      <c:lineChart>
        <c:grouping val="standard"/>
        <c:varyColors val="0"/>
        <c:ser>
          <c:idx val="0"/>
          <c:order val="0"/>
          <c:tx>
            <c:strRef>
              <c:f>'Monthly Cash Flow'!$A$52</c:f>
              <c:strCache>
                <c:ptCount val="1"/>
                <c:pt idx="0">
                  <c:v>ENDING CASH</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Cash Flow'!$C$3:$Z$3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'Monthly Cash Flow'!$C$52:$Z$52</c:f>
              <c:numCache>
                <c:formatCode>\$#,##0;"($"#,##0\);\-</c:formatCode>
                <c:ptCount val="24"/>
                <c:pt idx="0">
                  <c:v>267500</c:v>
                </c:pt>
                <c:pt idx="1">
                  <c:v>291476.64190424</c:v>
                </c:pt>
                <c:pt idx="2">
                  <c:v>413178.920431745</c:v>
                </c:pt>
                <c:pt idx="3">
                  <c:v>433590.620818888</c:v>
                </c:pt>
                <c:pt idx="4">
                  <c:v>458853.529119526</c:v>
                </c:pt>
                <c:pt idx="5">
                  <c:v>488970.472967478</c:v>
                </c:pt>
                <c:pt idx="6">
                  <c:v>521506.795339155</c:v>
                </c:pt>
                <c:pt idx="7">
                  <c:v>554492.437965713</c:v>
                </c:pt>
                <c:pt idx="8">
                  <c:v>587930.274745598</c:v>
                </c:pt>
                <c:pt idx="9">
                  <c:v>621823.195157495</c:v>
                </c:pt>
                <c:pt idx="10">
                  <c:v>656174.104340337</c:v>
                </c:pt>
                <c:pt idx="11">
                  <c:v>690985.923173719</c:v>
                </c:pt>
                <c:pt idx="12">
                  <c:v>726261.588358718</c:v>
                </c:pt>
                <c:pt idx="13">
                  <c:v>762004.052499116</c:v>
                </c:pt>
                <c:pt idx="14">
                  <c:v>793809.617516368</c:v>
                </c:pt>
                <c:pt idx="15">
                  <c:v>826087.934731642</c:v>
                </c:pt>
                <c:pt idx="16">
                  <c:v>858842.004948273</c:v>
                </c:pt>
                <c:pt idx="17">
                  <c:v>892074.845201302</c:v>
                </c:pt>
                <c:pt idx="18">
                  <c:v>925789.488840761</c:v>
                </c:pt>
                <c:pt idx="19">
                  <c:v>959988.985615372</c:v>
                </c:pt>
                <c:pt idx="20">
                  <c:v>994676.401756675</c:v>
                </c:pt>
                <c:pt idx="21">
                  <c:v>1029854.82006358</c:v>
                </c:pt>
                <c:pt idx="22">
                  <c:v>1065527.33998731</c:v>
                </c:pt>
                <c:pt idx="23">
                  <c:v>1101697.07771686</c:v>
                </c:pt>
              </c:numCache>
            </c:numRef>
          </c:val>
          <c:smooth val="1"/>
        </c:ser>
        <c:ser>
          <c:idx val="1"/>
          <c:order val="1"/>
          <c:tx>
            <c:strRef>
              <c:f>'Monthly Cash Flow'!$A$53</c:f>
              <c:strCache>
                <c:ptCount val="1"/>
                <c:pt idx="0">
                  <c:v>Minimum cash target</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Cash Flow'!$C$3:$Z$3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'Monthly Cash Flow'!$C$53:$Z$53</c:f>
              <c:numCache>
                <c:formatCode>\$#,##0;"($"#,##0\);\-</c:formatCode>
                <c:ptCount val="24"/>
                <c:pt idx="0">
                  <c:v>150000</c:v>
                </c:pt>
                <c:pt idx="1">
                  <c:v>150000</c:v>
                </c:pt>
                <c:pt idx="2">
                  <c:v>150000</c:v>
                </c:pt>
                <c:pt idx="3">
                  <c:v>150000</c:v>
                </c:pt>
                <c:pt idx="4">
                  <c:v>150000</c:v>
                </c:pt>
                <c:pt idx="5">
                  <c:v>150000</c:v>
                </c:pt>
                <c:pt idx="6">
                  <c:v>150000</c:v>
                </c:pt>
                <c:pt idx="7">
                  <c:v>150000</c:v>
                </c:pt>
                <c:pt idx="8">
                  <c:v>150000</c:v>
                </c:pt>
                <c:pt idx="9">
                  <c:v>150000</c:v>
                </c:pt>
                <c:pt idx="10">
                  <c:v>150000</c:v>
                </c:pt>
                <c:pt idx="11">
                  <c:v>150000</c:v>
                </c:pt>
                <c:pt idx="12">
                  <c:v>150000</c:v>
                </c:pt>
                <c:pt idx="13">
                  <c:v>150000</c:v>
                </c:pt>
                <c:pt idx="14">
                  <c:v>150000</c:v>
                </c:pt>
                <c:pt idx="15">
                  <c:v>150000</c:v>
                </c:pt>
                <c:pt idx="16">
                  <c:v>150000</c:v>
                </c:pt>
                <c:pt idx="17">
                  <c:v>150000</c:v>
                </c:pt>
                <c:pt idx="18">
                  <c:v>150000</c:v>
                </c:pt>
                <c:pt idx="19">
                  <c:v>150000</c:v>
                </c:pt>
                <c:pt idx="20">
                  <c:v>150000</c:v>
                </c:pt>
                <c:pt idx="21">
                  <c:v>150000</c:v>
                </c:pt>
                <c:pt idx="22">
                  <c:v>150000</c:v>
                </c:pt>
                <c:pt idx="23">
                  <c:v>150000</c:v>
                </c:pt>
              </c:numCache>
            </c:numRef>
          </c:val>
          <c:smooth val="1"/>
        </c:ser>
        <c:hiLowLines>
          <c:spPr>
            <a:ln w="0">
              <a:noFill/>
            </a:ln>
          </c:spPr>
        </c:hiLowLines>
        <c:marker val="0"/>
        <c:axId val="10620349"/>
        <c:axId val="95203090"/>
      </c:lineChart>
      <c:catAx>
        <c:axId val="1062034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203090"/>
        <c:crosses val="autoZero"/>
        <c:auto val="1"/>
        <c:lblAlgn val="ctr"/>
        <c:lblOffset val="100"/>
        <c:noMultiLvlLbl val="0"/>
      </c:catAx>
      <c:valAx>
        <c:axId val="9520309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Cash ($)</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62034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NPV by initiative</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'ROI Dashboard'!$A$6:$A$21</c:f>
              <c:strCache>
                <c:ptCount val="16"/>
                <c:pt idx="0">
                  <c:v>Project Manager</c:v>
                </c:pt>
                <c:pt idx="1">
                  <c:v/>
                </c:pt>
                <c:pt idx="2">
                  <c:v/>
                </c:pt>
                <c:pt idx="3">
                  <c:v/>
                </c:pt>
                <c:pt idx="4">
                  <c:v/>
                </c:pt>
                <c:pt idx="5">
                  <c:v/>
                </c:pt>
                <c:pt idx="6">
                  <c:v>EQUIPMENT</c:v>
                </c:pt>
                <c:pt idx="7">
                  <c:v>CNC machine</c:v>
                </c:pt>
                <c:pt idx="8">
                  <c:v/>
                </c:pt>
                <c:pt idx="9">
                  <c:v/>
                </c:pt>
                <c:pt idx="10">
                  <c:v/>
                </c:pt>
                <c:pt idx="11">
                  <c:v>OTHER INITIATIVES</c:v>
                </c:pt>
                <c:pt idx="12">
                  <c:v>ERP implementation</c:v>
                </c:pt>
                <c:pt idx="13">
                  <c:v/>
                </c:pt>
                <c:pt idx="14">
                  <c:v/>
                </c:pt>
                <c:pt idx="15">
                  <c:v/>
                </c:pt>
              </c:strCache>
            </c:strRef>
          </c:cat>
          <c:val>
            <c:numRef>
              <c:f>'ROI Dashboard'!$K$6:$K$21</c:f>
              <c:numCache>
                <c:formatCode>\$#,##0;"($"#,##0\);\-</c:formatCode>
                <c:ptCount val="16"/>
                <c:pt idx="0">
                  <c:v>77009.3393248073</c:v>
                </c:pt>
                <c:pt idx="7">
                  <c:v>269782.947059387</c:v>
                </c:pt>
              </c:numCache>
            </c:numRef>
          </c:val>
        </c:ser>
        <c:gapWidth val="150"/>
        <c:overlap val="0"/>
        <c:axId val="66975689"/>
        <c:axId val="16675046"/>
      </c:barChart>
      <c:catAx>
        <c:axId val="669756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675046"/>
        <c:crosses val="autoZero"/>
        <c:auto val="1"/>
        <c:lblAlgn val="ctr"/>
        <c:lblOffset val="100"/>
        <c:noMultiLvlLbl val="0"/>
      </c:catAx>
      <c:valAx>
        <c:axId val="16675046"/>
        <c:scaling>
          <c:orientation val="minMax"/>
        </c:scaling>
        <c:delete val="0"/>
        <c:axPos val="l"/>
        <c:majorGridlines>
          <c:spPr>
            <a:ln w="9360">
              <a:solidFill>
                <a:srgbClr val="878787"/>
              </a:solidFill>
              <a:round/>
            </a:ln>
          </c:spPr>
        </c:majorGridlines>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97568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64</xdr:row>
      <xdr:rowOff>160560</xdr:rowOff>
    </xdr:from>
    <xdr:to>
      <xdr:col>9</xdr:col>
      <xdr:colOff>55440</xdr:colOff>
      <xdr:row>79</xdr:row>
      <xdr:rowOff>182880</xdr:rowOff>
    </xdr:to>
    <xdr:graphicFrame>
      <xdr:nvGraphicFramePr>
        <xdr:cNvPr id="0" name="Chart 1"/>
        <xdr:cNvGraphicFramePr/>
      </xdr:nvGraphicFramePr>
      <xdr:xfrm>
        <a:off x="0" y="12382560"/>
        <a:ext cx="93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26</xdr:row>
      <xdr:rowOff>160920</xdr:rowOff>
    </xdr:from>
    <xdr:to>
      <xdr:col>10</xdr:col>
      <xdr:colOff>488160</xdr:colOff>
      <xdr:row>41</xdr:row>
      <xdr:rowOff>182880</xdr:rowOff>
    </xdr:to>
    <xdr:graphicFrame>
      <xdr:nvGraphicFramePr>
        <xdr:cNvPr id="1" name="Chart 1"/>
        <xdr:cNvGraphicFramePr/>
      </xdr:nvGraphicFramePr>
      <xdr:xfrm>
        <a:off x="5286240" y="533412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96"/>
  </cols>
  <sheetData>
    <row r="2" customFormat="false" ht="19.7" hidden="false" customHeight="false" outlineLevel="0" collapsed="false">
      <c r="B2" s="1" t="s">
        <v>0</v>
      </c>
    </row>
    <row r="3" customFormat="false" ht="16.15" hidden="false" customHeight="false" outlineLevel="0" collapsed="false">
      <c r="B3" s="2" t="s">
        <v>1</v>
      </c>
    </row>
    <row r="4" customFormat="false" ht="15" hidden="false" customHeight="false" outlineLevel="0" collapsed="false">
      <c r="B4" s="3" t="s">
        <v>2</v>
      </c>
    </row>
    <row r="6" customFormat="false" ht="15" hidden="false" customHeight="false" outlineLevel="0" collapsed="false">
      <c r="B6" s="4" t="s">
        <v>3</v>
      </c>
      <c r="C6" s="5"/>
    </row>
    <row r="7" customFormat="false" ht="23.85" hidden="false" customHeight="false" outlineLevel="0" collapsed="false">
      <c r="B7" s="6" t="s">
        <v>4</v>
      </c>
      <c r="C7" s="7" t="s">
        <v>5</v>
      </c>
    </row>
    <row r="8" customFormat="false" ht="23.85" hidden="false" customHeight="false" outlineLevel="0" collapsed="false">
      <c r="B8" s="6" t="s">
        <v>6</v>
      </c>
      <c r="C8" s="7" t="s">
        <v>7</v>
      </c>
    </row>
    <row r="9" customFormat="false" ht="23.85" hidden="false" customHeight="false" outlineLevel="0" collapsed="false">
      <c r="B9" s="6" t="s">
        <v>8</v>
      </c>
      <c r="C9" s="7" t="s">
        <v>9</v>
      </c>
    </row>
    <row r="10" customFormat="false" ht="23.85" hidden="false" customHeight="false" outlineLevel="0" collapsed="false">
      <c r="B10" s="6" t="s">
        <v>10</v>
      </c>
      <c r="C10" s="7" t="s">
        <v>11</v>
      </c>
    </row>
    <row r="11" customFormat="false" ht="15" hidden="false" customHeight="false" outlineLevel="0" collapsed="false">
      <c r="B11" s="6" t="s">
        <v>12</v>
      </c>
      <c r="C11" s="7" t="s">
        <v>13</v>
      </c>
    </row>
    <row r="12" customFormat="false" ht="23.85" hidden="false" customHeight="false" outlineLevel="0" collapsed="false">
      <c r="B12" s="6" t="s">
        <v>14</v>
      </c>
      <c r="C12" s="7" t="s">
        <v>15</v>
      </c>
    </row>
    <row r="14" customFormat="false" ht="15" hidden="false" customHeight="false" outlineLevel="0" collapsed="false">
      <c r="B14" s="4" t="s">
        <v>16</v>
      </c>
      <c r="C14" s="5"/>
    </row>
    <row r="15" customFormat="false" ht="15" hidden="false" customHeight="false" outlineLevel="0" collapsed="false">
      <c r="B15" s="8" t="s">
        <v>17</v>
      </c>
      <c r="C15" s="7" t="s">
        <v>18</v>
      </c>
    </row>
    <row r="16" customFormat="false" ht="15" hidden="false" customHeight="false" outlineLevel="0" collapsed="false">
      <c r="B16" s="6" t="s">
        <v>19</v>
      </c>
      <c r="C16" s="7" t="s">
        <v>20</v>
      </c>
    </row>
    <row r="17" customFormat="false" ht="15" hidden="false" customHeight="false" outlineLevel="0" collapsed="false">
      <c r="B17" s="9" t="s">
        <v>21</v>
      </c>
      <c r="C17" s="7" t="s">
        <v>22</v>
      </c>
    </row>
    <row r="19" customFormat="false" ht="15" hidden="false" customHeight="false" outlineLevel="0" collapsed="false">
      <c r="B19" s="4" t="s">
        <v>23</v>
      </c>
      <c r="C19" s="5"/>
    </row>
    <row r="20" customFormat="false" ht="15" hidden="false" customHeight="false" outlineLevel="0" collapsed="false">
      <c r="B20" s="6" t="s">
        <v>24</v>
      </c>
      <c r="C20" s="7" t="s">
        <v>25</v>
      </c>
    </row>
    <row r="21" customFormat="false" ht="15" hidden="false" customHeight="false" outlineLevel="0" collapsed="false">
      <c r="B21" s="6" t="s">
        <v>26</v>
      </c>
      <c r="C21" s="7" t="s">
        <v>27</v>
      </c>
    </row>
    <row r="22" customFormat="false" ht="15" hidden="false" customHeight="false" outlineLevel="0" collapsed="false">
      <c r="B22" s="6" t="s">
        <v>28</v>
      </c>
      <c r="C22" s="7" t="s">
        <v>29</v>
      </c>
    </row>
    <row r="23" customFormat="false" ht="15" hidden="false" customHeight="false" outlineLevel="0" collapsed="false">
      <c r="B23" s="6" t="s">
        <v>30</v>
      </c>
      <c r="C23" s="7" t="s">
        <v>31</v>
      </c>
    </row>
    <row r="24" customFormat="false" ht="15" hidden="false" customHeight="false" outlineLevel="0" collapsed="false">
      <c r="B24" s="6" t="s">
        <v>32</v>
      </c>
      <c r="C24" s="7" t="s">
        <v>33</v>
      </c>
    </row>
    <row r="25" customFormat="false" ht="15" hidden="false" customHeight="false" outlineLevel="0" collapsed="false">
      <c r="B25" s="6" t="s">
        <v>34</v>
      </c>
      <c r="C25" s="7" t="s">
        <v>35</v>
      </c>
    </row>
    <row r="26" customFormat="false" ht="15" hidden="false" customHeight="false" outlineLevel="0" collapsed="false">
      <c r="B26" s="6" t="s">
        <v>36</v>
      </c>
      <c r="C26" s="7" t="s">
        <v>37</v>
      </c>
    </row>
    <row r="27" customFormat="false" ht="15" hidden="false" customHeight="false" outlineLevel="0" collapsed="false">
      <c r="B27" s="6" t="s">
        <v>38</v>
      </c>
      <c r="C27" s="7" t="s">
        <v>39</v>
      </c>
    </row>
    <row r="28" customFormat="false" ht="15" hidden="false" customHeight="false" outlineLevel="0" collapsed="false">
      <c r="B28" s="6" t="s">
        <v>40</v>
      </c>
      <c r="C28" s="7" t="s">
        <v>41</v>
      </c>
    </row>
    <row r="30" customFormat="false" ht="15" hidden="false" customHeight="false" outlineLevel="0" collapsed="false">
      <c r="B30" s="4" t="s">
        <v>42</v>
      </c>
      <c r="C30" s="5"/>
    </row>
    <row r="31" customFormat="false" ht="15" hidden="false" customHeight="false" outlineLevel="0" collapsed="false">
      <c r="B31" s="6" t="s">
        <v>43</v>
      </c>
      <c r="C31" s="7" t="s">
        <v>44</v>
      </c>
    </row>
    <row r="32" customFormat="false" ht="23.85" hidden="false" customHeight="false" outlineLevel="0" collapsed="false">
      <c r="B32" s="6" t="s">
        <v>45</v>
      </c>
      <c r="C32" s="7" t="s">
        <v>46</v>
      </c>
    </row>
    <row r="33" customFormat="false" ht="15" hidden="false" customHeight="false" outlineLevel="0" collapsed="false">
      <c r="B33" s="6" t="s">
        <v>47</v>
      </c>
      <c r="C33" s="7" t="s">
        <v>48</v>
      </c>
    </row>
    <row r="34" customFormat="false" ht="23.85" hidden="false" customHeight="false" outlineLevel="0" collapsed="false">
      <c r="B34" s="6" t="s">
        <v>49</v>
      </c>
      <c r="C34" s="7" t="s">
        <v>50</v>
      </c>
    </row>
    <row r="35" customFormat="false" ht="23.85" hidden="false" customHeight="false" outlineLevel="0" collapsed="false">
      <c r="B35" s="6" t="s">
        <v>51</v>
      </c>
      <c r="C35" s="7" t="s">
        <v>52</v>
      </c>
    </row>
    <row r="36" customFormat="false" ht="23.85" hidden="false" customHeight="false" outlineLevel="0" collapsed="false">
      <c r="B36" s="6" t="s">
        <v>53</v>
      </c>
      <c r="C36" s="7" t="s">
        <v>54</v>
      </c>
    </row>
    <row r="38" customFormat="false" ht="15" hidden="false" customHeight="false" outlineLevel="0" collapsed="false">
      <c r="B38" s="6" t="s">
        <v>55</v>
      </c>
      <c r="C38" s="7"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3"/>
    <col collapsed="false" customWidth="true" hidden="false" outlineLevel="0" max="4" min="4" style="0" width="66"/>
  </cols>
  <sheetData>
    <row r="1" customFormat="false" ht="17.35" hidden="false" customHeight="false" outlineLevel="0" collapsed="false">
      <c r="A1" s="10" t="s">
        <v>57</v>
      </c>
    </row>
    <row r="2" customFormat="false" ht="15" hidden="false" customHeight="false" outlineLevel="0" collapsed="false">
      <c r="A2" s="3" t="s">
        <v>58</v>
      </c>
    </row>
    <row r="4" customFormat="false" ht="15" hidden="false" customHeight="false" outlineLevel="0" collapsed="false">
      <c r="A4" s="4" t="s">
        <v>59</v>
      </c>
      <c r="B4" s="5"/>
      <c r="C4" s="5"/>
      <c r="D4" s="5"/>
    </row>
    <row r="5" customFormat="false" ht="15" hidden="false" customHeight="false" outlineLevel="0" collapsed="false">
      <c r="A5" s="11" t="s">
        <v>60</v>
      </c>
      <c r="B5" s="12" t="s">
        <v>61</v>
      </c>
      <c r="D5" s="13" t="s">
        <v>62</v>
      </c>
    </row>
    <row r="6" customFormat="false" ht="15" hidden="false" customHeight="false" outlineLevel="0" collapsed="false">
      <c r="A6" s="11" t="s">
        <v>63</v>
      </c>
      <c r="B6" s="14" t="n">
        <v>46296</v>
      </c>
      <c r="D6" s="13" t="s">
        <v>64</v>
      </c>
    </row>
    <row r="7" customFormat="false" ht="15" hidden="false" customHeight="false" outlineLevel="0" collapsed="false">
      <c r="A7" s="11" t="s">
        <v>65</v>
      </c>
      <c r="B7" s="12" t="s">
        <v>66</v>
      </c>
      <c r="D7" s="13" t="s">
        <v>67</v>
      </c>
    </row>
    <row r="8" customFormat="false" ht="15" hidden="false" customHeight="false" outlineLevel="0" collapsed="false">
      <c r="A8" s="11" t="s">
        <v>68</v>
      </c>
      <c r="B8" s="15" t="n">
        <v>0.15</v>
      </c>
      <c r="D8" s="13" t="s">
        <v>69</v>
      </c>
    </row>
    <row r="9" customFormat="false" ht="15" hidden="false" customHeight="false" outlineLevel="0" collapsed="false">
      <c r="A9" s="11" t="s">
        <v>70</v>
      </c>
      <c r="B9" s="16" t="n">
        <f aca="false">(1+$B$8)^(1/12)-1</f>
        <v>0.0117149169198534</v>
      </c>
      <c r="D9" s="13" t="s">
        <v>71</v>
      </c>
    </row>
    <row r="10" customFormat="false" ht="15" hidden="false" customHeight="false" outlineLevel="0" collapsed="false">
      <c r="A10" s="11" t="s">
        <v>72</v>
      </c>
      <c r="B10" s="15" t="n">
        <v>0.25</v>
      </c>
      <c r="D10" s="13" t="s">
        <v>73</v>
      </c>
    </row>
    <row r="12" customFormat="false" ht="15" hidden="false" customHeight="false" outlineLevel="0" collapsed="false">
      <c r="A12" s="4" t="s">
        <v>74</v>
      </c>
      <c r="B12" s="5"/>
      <c r="C12" s="5"/>
      <c r="D12" s="5"/>
    </row>
    <row r="13" customFormat="false" ht="15" hidden="false" customHeight="false" outlineLevel="0" collapsed="false">
      <c r="A13" s="11" t="s">
        <v>75</v>
      </c>
      <c r="B13" s="17" t="n">
        <v>500000</v>
      </c>
    </row>
    <row r="14" customFormat="false" ht="15" hidden="false" customHeight="false" outlineLevel="0" collapsed="false">
      <c r="A14" s="11" t="s">
        <v>76</v>
      </c>
      <c r="B14" s="18" t="n">
        <v>0.005</v>
      </c>
      <c r="D14" s="13" t="s">
        <v>77</v>
      </c>
    </row>
    <row r="15" customFormat="false" ht="15" hidden="false" customHeight="false" outlineLevel="0" collapsed="false">
      <c r="A15" s="11" t="s">
        <v>78</v>
      </c>
      <c r="B15" s="15" t="n">
        <v>0.35</v>
      </c>
    </row>
    <row r="16" customFormat="false" ht="15" hidden="false" customHeight="false" outlineLevel="0" collapsed="false">
      <c r="A16" s="11" t="s">
        <v>79</v>
      </c>
      <c r="B16" s="17" t="n">
        <v>140000</v>
      </c>
      <c r="D16" s="13" t="s">
        <v>80</v>
      </c>
    </row>
    <row r="17" customFormat="false" ht="15" hidden="false" customHeight="false" outlineLevel="0" collapsed="false">
      <c r="A17" s="11" t="s">
        <v>81</v>
      </c>
      <c r="B17" s="18" t="n">
        <v>0.002</v>
      </c>
    </row>
    <row r="18" customFormat="false" ht="15" hidden="false" customHeight="false" outlineLevel="0" collapsed="false">
      <c r="A18" s="11" t="s">
        <v>82</v>
      </c>
      <c r="B18" s="17" t="n">
        <v>8000</v>
      </c>
      <c r="D18" s="13" t="s">
        <v>83</v>
      </c>
    </row>
    <row r="19" customFormat="false" ht="15" hidden="false" customHeight="false" outlineLevel="0" collapsed="false">
      <c r="A19" s="11" t="s">
        <v>84</v>
      </c>
      <c r="B19" s="17" t="n">
        <v>250000</v>
      </c>
    </row>
    <row r="20" customFormat="false" ht="15" hidden="false" customHeight="false" outlineLevel="0" collapsed="false">
      <c r="A20" s="11" t="s">
        <v>85</v>
      </c>
      <c r="B20" s="17" t="n">
        <v>150000</v>
      </c>
      <c r="D20" s="13" t="s">
        <v>86</v>
      </c>
    </row>
    <row r="21" customFormat="false" ht="15" hidden="false" customHeight="false" outlineLevel="0" collapsed="false">
      <c r="A21" s="11" t="s">
        <v>87</v>
      </c>
      <c r="B21" s="17" t="n">
        <v>12000</v>
      </c>
    </row>
    <row r="22" customFormat="false" ht="15" hidden="false" customHeight="false" outlineLevel="0" collapsed="false">
      <c r="A22" s="11" t="s">
        <v>88</v>
      </c>
      <c r="B22" s="17" t="n">
        <v>7000</v>
      </c>
      <c r="D22" s="13" t="s">
        <v>89</v>
      </c>
    </row>
    <row r="23" customFormat="false" ht="15" hidden="false" customHeight="false" outlineLevel="0" collapsed="false">
      <c r="A23" s="11" t="s">
        <v>90</v>
      </c>
      <c r="B23" s="17" t="n">
        <v>250000</v>
      </c>
      <c r="D23" s="13" t="s">
        <v>91</v>
      </c>
    </row>
    <row r="25" customFormat="false" ht="15" hidden="false" customHeight="false" outlineLevel="0" collapsed="false">
      <c r="A25" s="4" t="s">
        <v>92</v>
      </c>
      <c r="B25" s="5"/>
      <c r="C25" s="5"/>
      <c r="D25" s="5"/>
    </row>
    <row r="26" customFormat="false" ht="15" hidden="false" customHeight="false" outlineLevel="0" collapsed="false">
      <c r="A26" s="11" t="s">
        <v>93</v>
      </c>
      <c r="B26" s="19" t="n">
        <v>45</v>
      </c>
      <c r="D26" s="13" t="s">
        <v>94</v>
      </c>
    </row>
    <row r="27" customFormat="false" ht="15" hidden="false" customHeight="false" outlineLevel="0" collapsed="false">
      <c r="A27" s="11" t="s">
        <v>95</v>
      </c>
      <c r="B27" s="19" t="n">
        <v>30</v>
      </c>
      <c r="D27" s="13" t="s">
        <v>96</v>
      </c>
    </row>
    <row r="28" customFormat="false" ht="15" hidden="false" customHeight="false" outlineLevel="0" collapsed="false">
      <c r="A28" s="11" t="s">
        <v>97</v>
      </c>
      <c r="B28" s="19" t="n">
        <v>0</v>
      </c>
      <c r="D28" s="13" t="s">
        <v>98</v>
      </c>
    </row>
    <row r="29" customFormat="false" ht="15" hidden="false" customHeight="false" outlineLevel="0" collapsed="false">
      <c r="A29" s="11" t="s">
        <v>99</v>
      </c>
      <c r="B29" s="20" t="n">
        <v>30.4</v>
      </c>
    </row>
    <row r="31" customFormat="false" ht="15" hidden="false" customHeight="false" outlineLevel="0" collapsed="false">
      <c r="A31" s="4" t="s">
        <v>100</v>
      </c>
      <c r="B31" s="5"/>
      <c r="C31" s="5"/>
      <c r="D31" s="5"/>
    </row>
    <row r="32" customFormat="false" ht="15" hidden="false" customHeight="false" outlineLevel="0" collapsed="false">
      <c r="A32" s="11" t="s">
        <v>101</v>
      </c>
      <c r="B32" s="18" t="n">
        <v>0.062</v>
      </c>
    </row>
    <row r="33" customFormat="false" ht="15" hidden="false" customHeight="false" outlineLevel="0" collapsed="false">
      <c r="A33" s="11" t="s">
        <v>102</v>
      </c>
      <c r="B33" s="17" t="n">
        <v>176100</v>
      </c>
      <c r="D33" s="13" t="s">
        <v>103</v>
      </c>
    </row>
    <row r="34" customFormat="false" ht="15" hidden="false" customHeight="false" outlineLevel="0" collapsed="false">
      <c r="A34" s="11" t="s">
        <v>104</v>
      </c>
      <c r="B34" s="18" t="n">
        <v>0.0145</v>
      </c>
    </row>
    <row r="35" customFormat="false" ht="15" hidden="false" customHeight="false" outlineLevel="0" collapsed="false">
      <c r="A35" s="11" t="s">
        <v>105</v>
      </c>
      <c r="B35" s="18" t="n">
        <v>0.006</v>
      </c>
      <c r="D35" s="13" t="s">
        <v>106</v>
      </c>
    </row>
    <row r="36" customFormat="false" ht="15" hidden="false" customHeight="false" outlineLevel="0" collapsed="false">
      <c r="A36" s="11" t="s">
        <v>107</v>
      </c>
      <c r="B36" s="17" t="n">
        <v>7000</v>
      </c>
    </row>
    <row r="37" customFormat="false" ht="15" hidden="false" customHeight="false" outlineLevel="0" collapsed="false">
      <c r="A37" s="11" t="s">
        <v>108</v>
      </c>
      <c r="B37" s="18" t="n">
        <v>0.027</v>
      </c>
      <c r="D37" s="13" t="s">
        <v>109</v>
      </c>
    </row>
    <row r="38" customFormat="false" ht="15" hidden="false" customHeight="false" outlineLevel="0" collapsed="false">
      <c r="A38" s="11" t="s">
        <v>110</v>
      </c>
      <c r="B38" s="17" t="n">
        <v>9500</v>
      </c>
      <c r="D38" s="13" t="s">
        <v>111</v>
      </c>
    </row>
    <row r="39" customFormat="false" ht="15" hidden="false" customHeight="false" outlineLevel="0" collapsed="false">
      <c r="A39" s="11" t="s">
        <v>112</v>
      </c>
      <c r="B39" s="18" t="n">
        <v>0.012</v>
      </c>
      <c r="D39" s="13" t="s">
        <v>113</v>
      </c>
    </row>
    <row r="40" customFormat="false" ht="15" hidden="false" customHeight="false" outlineLevel="0" collapsed="false">
      <c r="A40" s="11" t="s">
        <v>114</v>
      </c>
      <c r="B40" s="17" t="n">
        <v>950</v>
      </c>
      <c r="D40" s="13" t="s">
        <v>115</v>
      </c>
    </row>
    <row r="41" customFormat="false" ht="15" hidden="false" customHeight="false" outlineLevel="0" collapsed="false">
      <c r="A41" s="11" t="s">
        <v>116</v>
      </c>
      <c r="B41" s="17" t="n">
        <v>110</v>
      </c>
    </row>
    <row r="42" customFormat="false" ht="15" hidden="false" customHeight="false" outlineLevel="0" collapsed="false">
      <c r="A42" s="11" t="s">
        <v>117</v>
      </c>
      <c r="B42" s="15" t="n">
        <v>0.04</v>
      </c>
      <c r="D42" s="13" t="s">
        <v>118</v>
      </c>
    </row>
    <row r="43" customFormat="false" ht="15" hidden="false" customHeight="false" outlineLevel="0" collapsed="false">
      <c r="A43" s="11" t="s">
        <v>119</v>
      </c>
      <c r="B43" s="17" t="n">
        <v>18</v>
      </c>
    </row>
    <row r="44" customFormat="false" ht="15" hidden="false" customHeight="false" outlineLevel="0" collapsed="false">
      <c r="A44" s="11" t="s">
        <v>120</v>
      </c>
      <c r="B44" s="17" t="n">
        <v>175</v>
      </c>
      <c r="D44" s="13" t="s">
        <v>121</v>
      </c>
    </row>
    <row r="45" customFormat="false" ht="15" hidden="false" customHeight="false" outlineLevel="0" collapsed="false">
      <c r="A45" s="11" t="s">
        <v>122</v>
      </c>
      <c r="B45" s="15" t="n">
        <v>0.2</v>
      </c>
      <c r="D45" s="13" t="s">
        <v>123</v>
      </c>
    </row>
    <row r="46" customFormat="false" ht="15" hidden="false" customHeight="false" outlineLevel="0" collapsed="false">
      <c r="A46" s="11" t="s">
        <v>124</v>
      </c>
      <c r="B46" s="17" t="n">
        <v>2500</v>
      </c>
      <c r="D46" s="13" t="s">
        <v>125</v>
      </c>
    </row>
    <row r="47" customFormat="false" ht="15" hidden="false" customHeight="false" outlineLevel="0" collapsed="false">
      <c r="A47" s="11" t="s">
        <v>126</v>
      </c>
      <c r="B47" s="17" t="n">
        <v>3000</v>
      </c>
      <c r="D47" s="13" t="s">
        <v>127</v>
      </c>
    </row>
    <row r="49" customFormat="false" ht="15" hidden="false" customHeight="false" outlineLevel="0" collapsed="false">
      <c r="A49" s="4" t="s">
        <v>128</v>
      </c>
      <c r="B49" s="5"/>
      <c r="C49" s="5"/>
      <c r="D49" s="5"/>
    </row>
    <row r="50" customFormat="false" ht="15" hidden="false" customHeight="false" outlineLevel="0" collapsed="false">
      <c r="A50" s="11" t="s">
        <v>129</v>
      </c>
      <c r="B50" s="20" t="n">
        <v>4.345</v>
      </c>
    </row>
    <row r="51" customFormat="false" ht="15" hidden="false" customHeight="false" outlineLevel="0" collapsed="false">
      <c r="A51" s="11" t="s">
        <v>130</v>
      </c>
      <c r="B51" s="15" t="n">
        <v>0.55</v>
      </c>
      <c r="D51" s="13" t="s">
        <v>131</v>
      </c>
    </row>
    <row r="52" customFormat="false" ht="15" hidden="false" customHeight="false" outlineLevel="0" collapsed="false">
      <c r="A52" s="11" t="s">
        <v>132</v>
      </c>
      <c r="B52" s="21" t="n">
        <f aca="false">ROUND($B$26/$B$29,0)</f>
        <v>1</v>
      </c>
    </row>
    <row r="53" customFormat="false" ht="15" hidden="false" customHeight="false" outlineLevel="0" collapsed="false">
      <c r="A53" s="11" t="s">
        <v>133</v>
      </c>
      <c r="B53" s="21" t="n">
        <f aca="false">ROUND($B$27/$B$29,0)</f>
        <v>1</v>
      </c>
    </row>
    <row r="55" customFormat="false" ht="15" hidden="false" customHeight="false" outlineLevel="0" collapsed="false">
      <c r="A55" s="4" t="s">
        <v>134</v>
      </c>
      <c r="B55" s="5"/>
      <c r="C55" s="5"/>
      <c r="D55" s="5"/>
    </row>
    <row r="56" customFormat="false" ht="15" hidden="false" customHeight="false" outlineLevel="0" collapsed="false">
      <c r="A56" s="22" t="s">
        <v>65</v>
      </c>
      <c r="B56" s="22" t="s">
        <v>135</v>
      </c>
      <c r="C56" s="22" t="s">
        <v>136</v>
      </c>
      <c r="D56" s="22" t="s">
        <v>137</v>
      </c>
    </row>
    <row r="57" customFormat="false" ht="15" hidden="false" customHeight="false" outlineLevel="0" collapsed="false">
      <c r="A57" s="11" t="s">
        <v>66</v>
      </c>
      <c r="B57" s="23" t="n">
        <v>1</v>
      </c>
      <c r="C57" s="23" t="n">
        <v>1</v>
      </c>
      <c r="D57" s="23" t="n">
        <v>1</v>
      </c>
    </row>
    <row r="58" customFormat="false" ht="15" hidden="false" customHeight="false" outlineLevel="0" collapsed="false">
      <c r="A58" s="11" t="s">
        <v>138</v>
      </c>
      <c r="B58" s="23" t="n">
        <v>1.25</v>
      </c>
      <c r="C58" s="23" t="n">
        <v>0.95</v>
      </c>
      <c r="D58" s="23" t="n">
        <v>1.1</v>
      </c>
    </row>
    <row r="59" customFormat="false" ht="15" hidden="false" customHeight="false" outlineLevel="0" collapsed="false">
      <c r="A59" s="11" t="s">
        <v>139</v>
      </c>
      <c r="B59" s="23" t="n">
        <v>0.6</v>
      </c>
      <c r="C59" s="23" t="n">
        <v>1.1</v>
      </c>
      <c r="D59" s="23" t="n">
        <v>0.85</v>
      </c>
    </row>
    <row r="61" customFormat="false" ht="15" hidden="false" customHeight="false" outlineLevel="0" collapsed="false">
      <c r="A61" s="11" t="s">
        <v>140</v>
      </c>
      <c r="B61" s="24" t="n">
        <f aca="false">INDEX($B$57:$B$59,MATCH($B$7,$A$57:$A$59,0))</f>
        <v>1</v>
      </c>
      <c r="D61" s="13" t="s">
        <v>141</v>
      </c>
    </row>
    <row r="62" customFormat="false" ht="15" hidden="false" customHeight="false" outlineLevel="0" collapsed="false">
      <c r="A62" s="11" t="s">
        <v>142</v>
      </c>
      <c r="B62" s="24" t="n">
        <f aca="false">INDEX($C$57:$C$59,MATCH($B$7,$A$57:$A$59,0))</f>
        <v>1</v>
      </c>
      <c r="D62" s="13" t="s">
        <v>143</v>
      </c>
    </row>
    <row r="63" customFormat="false" ht="15" hidden="false" customHeight="false" outlineLevel="0" collapsed="false">
      <c r="A63" s="11" t="s">
        <v>144</v>
      </c>
      <c r="B63" s="24" t="n">
        <f aca="false">INDEX($D$57:$D$59,MATCH($B$7,$A$57:$A$59,0))</f>
        <v>1</v>
      </c>
      <c r="D63" s="13" t="s">
        <v>145</v>
      </c>
    </row>
  </sheetData>
  <dataValidations count="1">
    <dataValidation allowBlank="false" errorStyle="stop" operator="between" showDropDown="false" showErrorMessage="false" showInputMessage="false" sqref="B7" type="list">
      <formula1>"Base,Upside,Downside"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
    <col collapsed="false" customWidth="true" hidden="false" outlineLevel="0" max="8" min="3" style="0" width="15"/>
    <col collapsed="false" customWidth="true" hidden="false" outlineLevel="0" max="9" min="9" style="0" width="2"/>
    <col collapsed="false" customWidth="true" hidden="false" outlineLevel="0" max="10" min="10" style="0" width="64"/>
  </cols>
  <sheetData>
    <row r="1" customFormat="false" ht="17.35" hidden="false" customHeight="false" outlineLevel="0" collapsed="false">
      <c r="A1" s="10" t="s">
        <v>146</v>
      </c>
    </row>
    <row r="2" customFormat="false" ht="15" hidden="false" customHeight="false" outlineLevel="0" collapsed="false">
      <c r="A2" s="3" t="s">
        <v>147</v>
      </c>
    </row>
    <row r="3" customFormat="false" ht="15" hidden="false" customHeight="false" outlineLevel="0" collapsed="false">
      <c r="C3" s="22" t="s">
        <v>148</v>
      </c>
      <c r="D3" s="22" t="s">
        <v>149</v>
      </c>
      <c r="E3" s="22" t="s">
        <v>150</v>
      </c>
      <c r="F3" s="22" t="s">
        <v>151</v>
      </c>
      <c r="G3" s="22" t="s">
        <v>152</v>
      </c>
      <c r="H3" s="22" t="s">
        <v>153</v>
      </c>
    </row>
    <row r="4" customFormat="false" ht="15" hidden="false" customHeight="false" outlineLevel="0" collapsed="false">
      <c r="A4" s="4" t="s">
        <v>154</v>
      </c>
      <c r="B4" s="5"/>
      <c r="C4" s="5"/>
      <c r="D4" s="5"/>
      <c r="E4" s="5"/>
      <c r="F4" s="5"/>
      <c r="G4" s="5"/>
      <c r="H4" s="5"/>
      <c r="I4" s="5"/>
      <c r="J4" s="5"/>
    </row>
    <row r="5" customFormat="false" ht="15" hidden="false" customHeight="false" outlineLevel="0" collapsed="false">
      <c r="A5" s="11" t="s">
        <v>155</v>
      </c>
      <c r="C5" s="25" t="s">
        <v>156</v>
      </c>
      <c r="D5" s="25"/>
      <c r="E5" s="25"/>
      <c r="F5" s="25"/>
      <c r="G5" s="25"/>
      <c r="H5" s="25"/>
      <c r="J5" s="13" t="s">
        <v>157</v>
      </c>
    </row>
    <row r="6" customFormat="false" ht="15" hidden="false" customHeight="false" outlineLevel="0" collapsed="false">
      <c r="A6" s="11" t="s">
        <v>158</v>
      </c>
      <c r="C6" s="25" t="s">
        <v>159</v>
      </c>
      <c r="D6" s="25"/>
      <c r="E6" s="25"/>
      <c r="F6" s="25"/>
      <c r="G6" s="25"/>
      <c r="H6" s="25"/>
    </row>
    <row r="7" customFormat="false" ht="15" hidden="false" customHeight="false" outlineLevel="0" collapsed="false">
      <c r="A7" s="11" t="s">
        <v>160</v>
      </c>
      <c r="C7" s="25" t="s">
        <v>161</v>
      </c>
      <c r="D7" s="25" t="s">
        <v>162</v>
      </c>
      <c r="E7" s="25" t="s">
        <v>162</v>
      </c>
      <c r="F7" s="25" t="s">
        <v>162</v>
      </c>
      <c r="G7" s="25" t="s">
        <v>162</v>
      </c>
      <c r="H7" s="25" t="s">
        <v>162</v>
      </c>
      <c r="J7" s="13" t="s">
        <v>163</v>
      </c>
    </row>
    <row r="8" customFormat="false" ht="15" hidden="false" customHeight="false" outlineLevel="0" collapsed="false">
      <c r="A8" s="11" t="s">
        <v>164</v>
      </c>
      <c r="C8" s="19" t="n">
        <v>2</v>
      </c>
      <c r="D8" s="19" t="n">
        <v>1</v>
      </c>
      <c r="E8" s="19" t="n">
        <v>1</v>
      </c>
      <c r="F8" s="19" t="n">
        <v>1</v>
      </c>
      <c r="G8" s="19" t="n">
        <v>1</v>
      </c>
      <c r="H8" s="19" t="n">
        <v>1</v>
      </c>
      <c r="J8" s="13" t="s">
        <v>165</v>
      </c>
    </row>
    <row r="10" customFormat="false" ht="15" hidden="false" customHeight="false" outlineLevel="0" collapsed="false">
      <c r="A10" s="4" t="s">
        <v>166</v>
      </c>
      <c r="B10" s="5"/>
      <c r="C10" s="5"/>
      <c r="D10" s="5"/>
      <c r="E10" s="5"/>
      <c r="F10" s="5"/>
      <c r="G10" s="5"/>
      <c r="H10" s="5"/>
      <c r="I10" s="5"/>
      <c r="J10" s="5"/>
    </row>
    <row r="11" customFormat="false" ht="15" hidden="false" customHeight="false" outlineLevel="0" collapsed="false">
      <c r="A11" s="11" t="s">
        <v>167</v>
      </c>
      <c r="C11" s="17" t="n">
        <v>85000</v>
      </c>
      <c r="D11" s="17" t="n">
        <v>0</v>
      </c>
      <c r="E11" s="17" t="n">
        <v>0</v>
      </c>
      <c r="F11" s="17" t="n">
        <v>0</v>
      </c>
      <c r="G11" s="17" t="n">
        <v>0</v>
      </c>
      <c r="H11" s="17" t="n">
        <v>0</v>
      </c>
      <c r="J11" s="13" t="s">
        <v>168</v>
      </c>
    </row>
    <row r="12" customFormat="false" ht="15" hidden="false" customHeight="false" outlineLevel="0" collapsed="false">
      <c r="A12" s="11" t="s">
        <v>169</v>
      </c>
      <c r="C12" s="15" t="n">
        <v>0.1</v>
      </c>
      <c r="D12" s="15" t="n">
        <v>0</v>
      </c>
      <c r="E12" s="15" t="n">
        <v>0</v>
      </c>
      <c r="F12" s="15" t="n">
        <v>0</v>
      </c>
      <c r="G12" s="15" t="n">
        <v>0</v>
      </c>
      <c r="H12" s="15" t="n">
        <v>0</v>
      </c>
    </row>
    <row r="13" customFormat="false" ht="15" hidden="false" customHeight="false" outlineLevel="0" collapsed="false">
      <c r="A13" s="11" t="s">
        <v>170</v>
      </c>
      <c r="C13" s="26" t="n">
        <f aca="false">C11*C12</f>
        <v>8500</v>
      </c>
      <c r="D13" s="26" t="n">
        <f aca="false">D11*D12</f>
        <v>0</v>
      </c>
      <c r="E13" s="26" t="n">
        <f aca="false">E11*E12</f>
        <v>0</v>
      </c>
      <c r="F13" s="26" t="n">
        <f aca="false">F11*F12</f>
        <v>0</v>
      </c>
      <c r="G13" s="26" t="n">
        <f aca="false">G11*G12</f>
        <v>0</v>
      </c>
      <c r="H13" s="26" t="n">
        <f aca="false">H11*H12</f>
        <v>0</v>
      </c>
    </row>
    <row r="14" customFormat="false" ht="15" hidden="false" customHeight="false" outlineLevel="0" collapsed="false">
      <c r="A14" s="6" t="s">
        <v>171</v>
      </c>
      <c r="C14" s="27" t="n">
        <f aca="false">C11+C13</f>
        <v>93500</v>
      </c>
      <c r="D14" s="27" t="n">
        <f aca="false">D11+D13</f>
        <v>0</v>
      </c>
      <c r="E14" s="27" t="n">
        <f aca="false">E11+E13</f>
        <v>0</v>
      </c>
      <c r="F14" s="27" t="n">
        <f aca="false">F11+F13</f>
        <v>0</v>
      </c>
      <c r="G14" s="27" t="n">
        <f aca="false">G11+G13</f>
        <v>0</v>
      </c>
      <c r="H14" s="27" t="n">
        <f aca="false">H11+H13</f>
        <v>0</v>
      </c>
    </row>
    <row r="16" customFormat="false" ht="15" hidden="false" customHeight="false" outlineLevel="0" collapsed="false">
      <c r="A16" s="4" t="s">
        <v>172</v>
      </c>
      <c r="B16" s="5"/>
      <c r="C16" s="5"/>
      <c r="D16" s="5"/>
      <c r="E16" s="5"/>
      <c r="F16" s="5"/>
      <c r="G16" s="5"/>
      <c r="H16" s="5"/>
      <c r="I16" s="5"/>
      <c r="J16" s="5"/>
    </row>
    <row r="17" customFormat="false" ht="15" hidden="false" customHeight="false" outlineLevel="0" collapsed="false">
      <c r="A17" s="11" t="s">
        <v>173</v>
      </c>
      <c r="C17" s="26" t="n">
        <f aca="false">MIN(C14,Assumptions!$B$33)*Assumptions!$B$32</f>
        <v>5797</v>
      </c>
      <c r="D17" s="26" t="n">
        <f aca="false">MIN(D14,Assumptions!$B$33)*Assumptions!$B$32</f>
        <v>0</v>
      </c>
      <c r="E17" s="26" t="n">
        <f aca="false">MIN(E14,Assumptions!$B$33)*Assumptions!$B$32</f>
        <v>0</v>
      </c>
      <c r="F17" s="26" t="n">
        <f aca="false">MIN(F14,Assumptions!$B$33)*Assumptions!$B$32</f>
        <v>0</v>
      </c>
      <c r="G17" s="26" t="n">
        <f aca="false">MIN(G14,Assumptions!$B$33)*Assumptions!$B$32</f>
        <v>0</v>
      </c>
      <c r="H17" s="26" t="n">
        <f aca="false">MIN(H14,Assumptions!$B$33)*Assumptions!$B$32</f>
        <v>0</v>
      </c>
    </row>
    <row r="18" customFormat="false" ht="15" hidden="false" customHeight="false" outlineLevel="0" collapsed="false">
      <c r="A18" s="11" t="s">
        <v>174</v>
      </c>
      <c r="C18" s="26" t="n">
        <f aca="false">C14*Assumptions!$B$34</f>
        <v>1355.75</v>
      </c>
      <c r="D18" s="26" t="n">
        <f aca="false">D14*Assumptions!$B$34</f>
        <v>0</v>
      </c>
      <c r="E18" s="26" t="n">
        <f aca="false">E14*Assumptions!$B$34</f>
        <v>0</v>
      </c>
      <c r="F18" s="26" t="n">
        <f aca="false">F14*Assumptions!$B$34</f>
        <v>0</v>
      </c>
      <c r="G18" s="26" t="n">
        <f aca="false">G14*Assumptions!$B$34</f>
        <v>0</v>
      </c>
      <c r="H18" s="26" t="n">
        <f aca="false">H14*Assumptions!$B$34</f>
        <v>0</v>
      </c>
    </row>
    <row r="19" customFormat="false" ht="15" hidden="false" customHeight="false" outlineLevel="0" collapsed="false">
      <c r="A19" s="11" t="s">
        <v>175</v>
      </c>
      <c r="C19" s="26" t="n">
        <f aca="false">MIN(C14,Assumptions!$B$36)*Assumptions!$B$35</f>
        <v>42</v>
      </c>
      <c r="D19" s="26" t="n">
        <f aca="false">MIN(D14,Assumptions!$B$36)*Assumptions!$B$35</f>
        <v>0</v>
      </c>
      <c r="E19" s="26" t="n">
        <f aca="false">MIN(E14,Assumptions!$B$36)*Assumptions!$B$35</f>
        <v>0</v>
      </c>
      <c r="F19" s="26" t="n">
        <f aca="false">MIN(F14,Assumptions!$B$36)*Assumptions!$B$35</f>
        <v>0</v>
      </c>
      <c r="G19" s="26" t="n">
        <f aca="false">MIN(G14,Assumptions!$B$36)*Assumptions!$B$35</f>
        <v>0</v>
      </c>
      <c r="H19" s="26" t="n">
        <f aca="false">MIN(H14,Assumptions!$B$36)*Assumptions!$B$35</f>
        <v>0</v>
      </c>
    </row>
    <row r="20" customFormat="false" ht="15" hidden="false" customHeight="false" outlineLevel="0" collapsed="false">
      <c r="A20" s="11" t="s">
        <v>176</v>
      </c>
      <c r="C20" s="26" t="n">
        <f aca="false">MIN(C14,Assumptions!$B$38)*Assumptions!$B$37</f>
        <v>256.5</v>
      </c>
      <c r="D20" s="26" t="n">
        <f aca="false">MIN(D14,Assumptions!$B$38)*Assumptions!$B$37</f>
        <v>0</v>
      </c>
      <c r="E20" s="26" t="n">
        <f aca="false">MIN(E14,Assumptions!$B$38)*Assumptions!$B$37</f>
        <v>0</v>
      </c>
      <c r="F20" s="26" t="n">
        <f aca="false">MIN(F14,Assumptions!$B$38)*Assumptions!$B$37</f>
        <v>0</v>
      </c>
      <c r="G20" s="26" t="n">
        <f aca="false">MIN(G14,Assumptions!$B$38)*Assumptions!$B$37</f>
        <v>0</v>
      </c>
      <c r="H20" s="26" t="n">
        <f aca="false">MIN(H14,Assumptions!$B$38)*Assumptions!$B$37</f>
        <v>0</v>
      </c>
    </row>
    <row r="21" customFormat="false" ht="15" hidden="false" customHeight="false" outlineLevel="0" collapsed="false">
      <c r="A21" s="11" t="s">
        <v>177</v>
      </c>
      <c r="C21" s="26" t="n">
        <f aca="false">C14*Assumptions!$B$39</f>
        <v>1122</v>
      </c>
      <c r="D21" s="26" t="n">
        <f aca="false">D14*Assumptions!$B$39</f>
        <v>0</v>
      </c>
      <c r="E21" s="26" t="n">
        <f aca="false">E14*Assumptions!$B$39</f>
        <v>0</v>
      </c>
      <c r="F21" s="26" t="n">
        <f aca="false">F14*Assumptions!$B$39</f>
        <v>0</v>
      </c>
      <c r="G21" s="26" t="n">
        <f aca="false">G14*Assumptions!$B$39</f>
        <v>0</v>
      </c>
      <c r="H21" s="26" t="n">
        <f aca="false">H14*Assumptions!$B$39</f>
        <v>0</v>
      </c>
    </row>
    <row r="22" customFormat="false" ht="15" hidden="false" customHeight="false" outlineLevel="0" collapsed="false">
      <c r="A22" s="11" t="s">
        <v>178</v>
      </c>
      <c r="C22" s="26" t="n">
        <f aca="false">IF(C11=0,0,Assumptions!$B$40*12)</f>
        <v>11400</v>
      </c>
      <c r="D22" s="26" t="n">
        <f aca="false">IF(D11=0,0,Assumptions!$B$40*12)</f>
        <v>0</v>
      </c>
      <c r="E22" s="26" t="n">
        <f aca="false">IF(E11=0,0,Assumptions!$B$40*12)</f>
        <v>0</v>
      </c>
      <c r="F22" s="26" t="n">
        <f aca="false">IF(F11=0,0,Assumptions!$B$40*12)</f>
        <v>0</v>
      </c>
      <c r="G22" s="26" t="n">
        <f aca="false">IF(G11=0,0,Assumptions!$B$40*12)</f>
        <v>0</v>
      </c>
      <c r="H22" s="26" t="n">
        <f aca="false">IF(H11=0,0,Assumptions!$B$40*12)</f>
        <v>0</v>
      </c>
    </row>
    <row r="23" customFormat="false" ht="15" hidden="false" customHeight="false" outlineLevel="0" collapsed="false">
      <c r="A23" s="11" t="s">
        <v>179</v>
      </c>
      <c r="C23" s="26" t="n">
        <f aca="false">IF(C11=0,0,Assumptions!$B$41*12)</f>
        <v>1320</v>
      </c>
      <c r="D23" s="26" t="n">
        <f aca="false">IF(D11=0,0,Assumptions!$B$41*12)</f>
        <v>0</v>
      </c>
      <c r="E23" s="26" t="n">
        <f aca="false">IF(E11=0,0,Assumptions!$B$41*12)</f>
        <v>0</v>
      </c>
      <c r="F23" s="26" t="n">
        <f aca="false">IF(F11=0,0,Assumptions!$B$41*12)</f>
        <v>0</v>
      </c>
      <c r="G23" s="26" t="n">
        <f aca="false">IF(G11=0,0,Assumptions!$B$41*12)</f>
        <v>0</v>
      </c>
      <c r="H23" s="26" t="n">
        <f aca="false">IF(H11=0,0,Assumptions!$B$41*12)</f>
        <v>0</v>
      </c>
    </row>
    <row r="24" customFormat="false" ht="15" hidden="false" customHeight="false" outlineLevel="0" collapsed="false">
      <c r="A24" s="11" t="s">
        <v>180</v>
      </c>
      <c r="C24" s="26" t="n">
        <f aca="false">C11*Assumptions!$B$42</f>
        <v>3400</v>
      </c>
      <c r="D24" s="26" t="n">
        <f aca="false">D11*Assumptions!$B$42</f>
        <v>0</v>
      </c>
      <c r="E24" s="26" t="n">
        <f aca="false">E11*Assumptions!$B$42</f>
        <v>0</v>
      </c>
      <c r="F24" s="26" t="n">
        <f aca="false">F11*Assumptions!$B$42</f>
        <v>0</v>
      </c>
      <c r="G24" s="26" t="n">
        <f aca="false">G11*Assumptions!$B$42</f>
        <v>0</v>
      </c>
      <c r="H24" s="26" t="n">
        <f aca="false">H11*Assumptions!$B$42</f>
        <v>0</v>
      </c>
    </row>
    <row r="25" customFormat="false" ht="15" hidden="false" customHeight="false" outlineLevel="0" collapsed="false">
      <c r="A25" s="11" t="s">
        <v>181</v>
      </c>
      <c r="C25" s="26" t="n">
        <f aca="false">IF(C11=0,0,Assumptions!$B$43*12)</f>
        <v>216</v>
      </c>
      <c r="D25" s="26" t="n">
        <f aca="false">IF(D11=0,0,Assumptions!$B$43*12)</f>
        <v>0</v>
      </c>
      <c r="E25" s="26" t="n">
        <f aca="false">IF(E11=0,0,Assumptions!$B$43*12)</f>
        <v>0</v>
      </c>
      <c r="F25" s="26" t="n">
        <f aca="false">IF(F11=0,0,Assumptions!$B$43*12)</f>
        <v>0</v>
      </c>
      <c r="G25" s="26" t="n">
        <f aca="false">IF(G11=0,0,Assumptions!$B$43*12)</f>
        <v>0</v>
      </c>
      <c r="H25" s="26" t="n">
        <f aca="false">IF(H11=0,0,Assumptions!$B$43*12)</f>
        <v>0</v>
      </c>
    </row>
    <row r="26" customFormat="false" ht="15" hidden="false" customHeight="false" outlineLevel="0" collapsed="false">
      <c r="A26" s="11" t="s">
        <v>182</v>
      </c>
      <c r="C26" s="26" t="n">
        <f aca="false">IF(C11=0,0,Assumptions!$B$44*12)</f>
        <v>2100</v>
      </c>
      <c r="D26" s="26" t="n">
        <f aca="false">IF(D11=0,0,Assumptions!$B$44*12)</f>
        <v>0</v>
      </c>
      <c r="E26" s="26" t="n">
        <f aca="false">IF(E11=0,0,Assumptions!$B$44*12)</f>
        <v>0</v>
      </c>
      <c r="F26" s="26" t="n">
        <f aca="false">IF(F11=0,0,Assumptions!$B$44*12)</f>
        <v>0</v>
      </c>
      <c r="G26" s="26" t="n">
        <f aca="false">IF(G11=0,0,Assumptions!$B$44*12)</f>
        <v>0</v>
      </c>
      <c r="H26" s="26" t="n">
        <f aca="false">IF(H11=0,0,Assumptions!$B$44*12)</f>
        <v>0</v>
      </c>
    </row>
    <row r="27" customFormat="false" ht="15" hidden="false" customHeight="false" outlineLevel="0" collapsed="false">
      <c r="A27" s="6" t="s">
        <v>183</v>
      </c>
      <c r="C27" s="27" t="n">
        <f aca="false">SUM(C17:C26)</f>
        <v>27009.25</v>
      </c>
      <c r="D27" s="27" t="n">
        <f aca="false">SUM(D17:D26)</f>
        <v>0</v>
      </c>
      <c r="E27" s="27" t="n">
        <f aca="false">SUM(E17:E26)</f>
        <v>0</v>
      </c>
      <c r="F27" s="27" t="n">
        <f aca="false">SUM(F17:F26)</f>
        <v>0</v>
      </c>
      <c r="G27" s="27" t="n">
        <f aca="false">SUM(G17:G26)</f>
        <v>0</v>
      </c>
      <c r="H27" s="27" t="n">
        <f aca="false">SUM(H17:H26)</f>
        <v>0</v>
      </c>
    </row>
    <row r="28" customFormat="false" ht="15" hidden="false" customHeight="false" outlineLevel="0" collapsed="false">
      <c r="A28" s="6" t="s">
        <v>184</v>
      </c>
      <c r="C28" s="27" t="n">
        <f aca="false">C14+C27</f>
        <v>120509.25</v>
      </c>
      <c r="D28" s="27" t="n">
        <f aca="false">D14+D27</f>
        <v>0</v>
      </c>
      <c r="E28" s="27" t="n">
        <f aca="false">E14+E27</f>
        <v>0</v>
      </c>
      <c r="F28" s="27" t="n">
        <f aca="false">F14+F27</f>
        <v>0</v>
      </c>
      <c r="G28" s="27" t="n">
        <f aca="false">G14+G27</f>
        <v>0</v>
      </c>
      <c r="H28" s="27" t="n">
        <f aca="false">H14+H27</f>
        <v>0</v>
      </c>
      <c r="J28" s="13" t="s">
        <v>185</v>
      </c>
    </row>
    <row r="29" customFormat="false" ht="15" hidden="false" customHeight="false" outlineLevel="0" collapsed="false">
      <c r="A29" s="11" t="s">
        <v>186</v>
      </c>
      <c r="C29" s="28" t="n">
        <f aca="false">IFERROR(C27/C11,0)</f>
        <v>0.317755882352941</v>
      </c>
      <c r="D29" s="28" t="n">
        <f aca="false">IFERROR(D27/D11,0)</f>
        <v>0</v>
      </c>
      <c r="E29" s="28" t="n">
        <f aca="false">IFERROR(E27/E11,0)</f>
        <v>0</v>
      </c>
      <c r="F29" s="28" t="n">
        <f aca="false">IFERROR(F27/F11,0)</f>
        <v>0</v>
      </c>
      <c r="G29" s="28" t="n">
        <f aca="false">IFERROR(G27/G11,0)</f>
        <v>0</v>
      </c>
      <c r="H29" s="28" t="n">
        <f aca="false">IFERROR(H27/H11,0)</f>
        <v>0</v>
      </c>
    </row>
    <row r="30" customFormat="false" ht="15" hidden="false" customHeight="false" outlineLevel="0" collapsed="false">
      <c r="A30" s="11" t="s">
        <v>187</v>
      </c>
      <c r="C30" s="24" t="n">
        <f aca="false">IFERROR(C28/C11,0)</f>
        <v>1.41775588235294</v>
      </c>
      <c r="D30" s="24" t="n">
        <f aca="false">IFERROR(D28/D11,0)</f>
        <v>0</v>
      </c>
      <c r="E30" s="24" t="n">
        <f aca="false">IFERROR(E28/E11,0)</f>
        <v>0</v>
      </c>
      <c r="F30" s="24" t="n">
        <f aca="false">IFERROR(F28/F11,0)</f>
        <v>0</v>
      </c>
      <c r="G30" s="24" t="n">
        <f aca="false">IFERROR(G28/G11,0)</f>
        <v>0</v>
      </c>
      <c r="H30" s="24" t="n">
        <f aca="false">IFERROR(H28/H11,0)</f>
        <v>0</v>
      </c>
      <c r="J30" s="13" t="s">
        <v>188</v>
      </c>
    </row>
    <row r="31" customFormat="false" ht="15" hidden="false" customHeight="false" outlineLevel="0" collapsed="false">
      <c r="A31" s="11" t="s">
        <v>189</v>
      </c>
      <c r="C31" s="26" t="n">
        <f aca="false">C28/12</f>
        <v>10042.4375</v>
      </c>
      <c r="D31" s="26" t="n">
        <f aca="false">D28/12</f>
        <v>0</v>
      </c>
      <c r="E31" s="26" t="n">
        <f aca="false">E28/12</f>
        <v>0</v>
      </c>
      <c r="F31" s="26" t="n">
        <f aca="false">F28/12</f>
        <v>0</v>
      </c>
      <c r="G31" s="26" t="n">
        <f aca="false">G28/12</f>
        <v>0</v>
      </c>
      <c r="H31" s="26" t="n">
        <f aca="false">H28/12</f>
        <v>0</v>
      </c>
    </row>
    <row r="32" customFormat="false" ht="15" hidden="false" customHeight="false" outlineLevel="0" collapsed="false">
      <c r="A32" s="11" t="s">
        <v>190</v>
      </c>
      <c r="C32" s="29" t="n">
        <f aca="false">IFERROR(C28/2080,0)</f>
        <v>57.9371394230769</v>
      </c>
      <c r="D32" s="29" t="n">
        <f aca="false">IFERROR(D28/2080,0)</f>
        <v>0</v>
      </c>
      <c r="E32" s="29" t="n">
        <f aca="false">IFERROR(E28/2080,0)</f>
        <v>0</v>
      </c>
      <c r="F32" s="29" t="n">
        <f aca="false">IFERROR(F28/2080,0)</f>
        <v>0</v>
      </c>
      <c r="G32" s="29" t="n">
        <f aca="false">IFERROR(G28/2080,0)</f>
        <v>0</v>
      </c>
      <c r="H32" s="29" t="n">
        <f aca="false">IFERROR(H28/2080,0)</f>
        <v>0</v>
      </c>
      <c r="J32" s="13" t="s">
        <v>191</v>
      </c>
    </row>
    <row r="34" customFormat="false" ht="15" hidden="false" customHeight="false" outlineLevel="0" collapsed="false">
      <c r="A34" s="4" t="s">
        <v>192</v>
      </c>
      <c r="B34" s="5"/>
      <c r="C34" s="5"/>
      <c r="D34" s="5"/>
      <c r="E34" s="5"/>
      <c r="F34" s="5"/>
      <c r="G34" s="5"/>
      <c r="H34" s="5"/>
      <c r="I34" s="5"/>
      <c r="J34" s="5"/>
    </row>
    <row r="35" customFormat="false" ht="15" hidden="false" customHeight="false" outlineLevel="0" collapsed="false">
      <c r="A35" s="11" t="s">
        <v>193</v>
      </c>
      <c r="C35" s="26" t="n">
        <f aca="false">C11*Assumptions!$B$45</f>
        <v>17000</v>
      </c>
      <c r="D35" s="26" t="n">
        <f aca="false">D11*Assumptions!$B$45</f>
        <v>0</v>
      </c>
      <c r="E35" s="26" t="n">
        <f aca="false">E11*Assumptions!$B$45</f>
        <v>0</v>
      </c>
      <c r="F35" s="26" t="n">
        <f aca="false">F11*Assumptions!$B$45</f>
        <v>0</v>
      </c>
      <c r="G35" s="26" t="n">
        <f aca="false">G11*Assumptions!$B$45</f>
        <v>0</v>
      </c>
      <c r="H35" s="26" t="n">
        <f aca="false">H11*Assumptions!$B$45</f>
        <v>0</v>
      </c>
    </row>
    <row r="36" customFormat="false" ht="15" hidden="false" customHeight="false" outlineLevel="0" collapsed="false">
      <c r="A36" s="11" t="s">
        <v>194</v>
      </c>
      <c r="C36" s="26" t="n">
        <f aca="false">IF(C11=0,0,Assumptions!$B$46)</f>
        <v>2500</v>
      </c>
      <c r="D36" s="26" t="n">
        <f aca="false">IF(D11=0,0,Assumptions!$B$46)</f>
        <v>0</v>
      </c>
      <c r="E36" s="26" t="n">
        <f aca="false">IF(E11=0,0,Assumptions!$B$46)</f>
        <v>0</v>
      </c>
      <c r="F36" s="26" t="n">
        <f aca="false">IF(F11=0,0,Assumptions!$B$46)</f>
        <v>0</v>
      </c>
      <c r="G36" s="26" t="n">
        <f aca="false">IF(G11=0,0,Assumptions!$B$46)</f>
        <v>0</v>
      </c>
      <c r="H36" s="26" t="n">
        <f aca="false">IF(H11=0,0,Assumptions!$B$46)</f>
        <v>0</v>
      </c>
    </row>
    <row r="37" customFormat="false" ht="15" hidden="false" customHeight="false" outlineLevel="0" collapsed="false">
      <c r="A37" s="11" t="s">
        <v>195</v>
      </c>
      <c r="C37" s="26" t="n">
        <f aca="false">IF(C11=0,0,Assumptions!$B$47)</f>
        <v>3000</v>
      </c>
      <c r="D37" s="26" t="n">
        <f aca="false">IF(D11=0,0,Assumptions!$B$47)</f>
        <v>0</v>
      </c>
      <c r="E37" s="26" t="n">
        <f aca="false">IF(E11=0,0,Assumptions!$B$47)</f>
        <v>0</v>
      </c>
      <c r="F37" s="26" t="n">
        <f aca="false">IF(F11=0,0,Assumptions!$B$47)</f>
        <v>0</v>
      </c>
      <c r="G37" s="26" t="n">
        <f aca="false">IF(G11=0,0,Assumptions!$B$47)</f>
        <v>0</v>
      </c>
      <c r="H37" s="26" t="n">
        <f aca="false">IF(H11=0,0,Assumptions!$B$47)</f>
        <v>0</v>
      </c>
    </row>
    <row r="38" customFormat="false" ht="15" hidden="false" customHeight="false" outlineLevel="0" collapsed="false">
      <c r="A38" s="11" t="s">
        <v>196</v>
      </c>
      <c r="C38" s="17" t="n">
        <v>0</v>
      </c>
      <c r="D38" s="17" t="n">
        <v>0</v>
      </c>
      <c r="E38" s="17" t="n">
        <v>0</v>
      </c>
      <c r="F38" s="17" t="n">
        <v>0</v>
      </c>
      <c r="G38" s="17" t="n">
        <v>0</v>
      </c>
      <c r="H38" s="17" t="n">
        <v>0</v>
      </c>
    </row>
    <row r="39" customFormat="false" ht="15" hidden="false" customHeight="false" outlineLevel="0" collapsed="false">
      <c r="A39" s="6" t="s">
        <v>197</v>
      </c>
      <c r="C39" s="27" t="n">
        <f aca="false">SUM(C35:C38)</f>
        <v>22500</v>
      </c>
      <c r="D39" s="27" t="n">
        <f aca="false">SUM(D35:D38)</f>
        <v>0</v>
      </c>
      <c r="E39" s="27" t="n">
        <f aca="false">SUM(E35:E38)</f>
        <v>0</v>
      </c>
      <c r="F39" s="27" t="n">
        <f aca="false">SUM(F35:F38)</f>
        <v>0</v>
      </c>
      <c r="G39" s="27" t="n">
        <f aca="false">SUM(G35:G38)</f>
        <v>0</v>
      </c>
      <c r="H39" s="27" t="n">
        <f aca="false">SUM(H35:H38)</f>
        <v>0</v>
      </c>
      <c r="J39" s="13" t="s">
        <v>198</v>
      </c>
    </row>
    <row r="41" customFormat="false" ht="15" hidden="false" customHeight="false" outlineLevel="0" collapsed="false">
      <c r="A41" s="4" t="s">
        <v>199</v>
      </c>
      <c r="B41" s="5"/>
      <c r="C41" s="5"/>
      <c r="D41" s="5"/>
      <c r="E41" s="5"/>
      <c r="F41" s="5"/>
      <c r="G41" s="5"/>
      <c r="H41" s="5"/>
      <c r="I41" s="5"/>
      <c r="J41" s="5"/>
    </row>
    <row r="42" customFormat="false" ht="15" hidden="false" customHeight="false" outlineLevel="0" collapsed="false">
      <c r="A42" s="11" t="s">
        <v>200</v>
      </c>
      <c r="C42" s="17" t="n">
        <v>400000</v>
      </c>
      <c r="D42" s="17" t="n">
        <v>0</v>
      </c>
      <c r="E42" s="17" t="n">
        <v>0</v>
      </c>
      <c r="F42" s="17" t="n">
        <v>0</v>
      </c>
      <c r="G42" s="17" t="n">
        <v>0</v>
      </c>
      <c r="H42" s="17" t="n">
        <v>0</v>
      </c>
      <c r="J42" s="13" t="s">
        <v>201</v>
      </c>
    </row>
    <row r="43" customFormat="false" ht="15" hidden="false" customHeight="false" outlineLevel="0" collapsed="false">
      <c r="A43" s="11" t="s">
        <v>202</v>
      </c>
      <c r="C43" s="15" t="n">
        <v>0.35</v>
      </c>
      <c r="D43" s="15" t="n">
        <v>0</v>
      </c>
      <c r="E43" s="15" t="n">
        <v>0</v>
      </c>
      <c r="F43" s="15" t="n">
        <v>0</v>
      </c>
      <c r="G43" s="15" t="n">
        <v>0</v>
      </c>
      <c r="H43" s="15" t="n">
        <v>0</v>
      </c>
    </row>
    <row r="44" customFormat="false" ht="15" hidden="false" customHeight="false" outlineLevel="0" collapsed="false">
      <c r="A44" s="11" t="s">
        <v>203</v>
      </c>
      <c r="C44" s="26" t="n">
        <f aca="false">C42*C43</f>
        <v>140000</v>
      </c>
      <c r="D44" s="26" t="n">
        <f aca="false">D42*D43</f>
        <v>0</v>
      </c>
      <c r="E44" s="26" t="n">
        <f aca="false">E42*E43</f>
        <v>0</v>
      </c>
      <c r="F44" s="26" t="n">
        <f aca="false">F42*F43</f>
        <v>0</v>
      </c>
      <c r="G44" s="26" t="n">
        <f aca="false">G42*G43</f>
        <v>0</v>
      </c>
      <c r="H44" s="26" t="n">
        <f aca="false">H42*H43</f>
        <v>0</v>
      </c>
    </row>
    <row r="45" customFormat="false" ht="15" hidden="false" customHeight="false" outlineLevel="0" collapsed="false">
      <c r="A45" s="11" t="s">
        <v>204</v>
      </c>
      <c r="C45" s="19" t="n">
        <v>10</v>
      </c>
      <c r="D45" s="19" t="n">
        <v>0</v>
      </c>
      <c r="E45" s="19" t="n">
        <v>0</v>
      </c>
      <c r="F45" s="19" t="n">
        <v>0</v>
      </c>
      <c r="G45" s="19" t="n">
        <v>0</v>
      </c>
      <c r="H45" s="19" t="n">
        <v>0</v>
      </c>
      <c r="J45" s="13" t="s">
        <v>205</v>
      </c>
    </row>
    <row r="46" customFormat="false" ht="15" hidden="false" customHeight="false" outlineLevel="0" collapsed="false">
      <c r="A46" s="11" t="s">
        <v>206</v>
      </c>
      <c r="C46" s="30" t="n">
        <v>95</v>
      </c>
      <c r="D46" s="30" t="n">
        <v>0</v>
      </c>
      <c r="E46" s="30" t="n">
        <v>0</v>
      </c>
      <c r="F46" s="30" t="n">
        <v>0</v>
      </c>
      <c r="G46" s="30" t="n">
        <v>0</v>
      </c>
      <c r="H46" s="30" t="n">
        <v>0</v>
      </c>
    </row>
    <row r="47" customFormat="false" ht="15" hidden="false" customHeight="false" outlineLevel="0" collapsed="false">
      <c r="A47" s="11" t="s">
        <v>207</v>
      </c>
      <c r="C47" s="26" t="n">
        <f aca="false">C45*C46*52</f>
        <v>49400</v>
      </c>
      <c r="D47" s="26" t="n">
        <f aca="false">D45*D46*52</f>
        <v>0</v>
      </c>
      <c r="E47" s="26" t="n">
        <f aca="false">E45*E46*52</f>
        <v>0</v>
      </c>
      <c r="F47" s="26" t="n">
        <f aca="false">F45*F46*52</f>
        <v>0</v>
      </c>
      <c r="G47" s="26" t="n">
        <f aca="false">G45*G46*52</f>
        <v>0</v>
      </c>
      <c r="H47" s="26" t="n">
        <f aca="false">H45*H46*52</f>
        <v>0</v>
      </c>
    </row>
    <row r="48" customFormat="false" ht="15" hidden="false" customHeight="false" outlineLevel="0" collapsed="false">
      <c r="A48" s="11" t="s">
        <v>208</v>
      </c>
      <c r="C48" s="17" t="n">
        <v>0</v>
      </c>
      <c r="D48" s="17" t="n">
        <v>0</v>
      </c>
      <c r="E48" s="17" t="n">
        <v>0</v>
      </c>
      <c r="F48" s="17" t="n">
        <v>0</v>
      </c>
      <c r="G48" s="17" t="n">
        <v>0</v>
      </c>
      <c r="H48" s="17" t="n">
        <v>0</v>
      </c>
      <c r="J48" s="13" t="s">
        <v>209</v>
      </c>
    </row>
    <row r="49" customFormat="false" ht="15" hidden="false" customHeight="false" outlineLevel="0" collapsed="false">
      <c r="A49" s="6" t="s">
        <v>210</v>
      </c>
      <c r="C49" s="27" t="n">
        <f aca="false">C44+C47+C48</f>
        <v>189400</v>
      </c>
      <c r="D49" s="27" t="n">
        <f aca="false">D44+D47+D48</f>
        <v>0</v>
      </c>
      <c r="E49" s="27" t="n">
        <f aca="false">E44+E47+E48</f>
        <v>0</v>
      </c>
      <c r="F49" s="27" t="n">
        <f aca="false">F44+F47+F48</f>
        <v>0</v>
      </c>
      <c r="G49" s="27" t="n">
        <f aca="false">G44+G47+G48</f>
        <v>0</v>
      </c>
      <c r="H49" s="27" t="n">
        <f aca="false">H44+H47+H48</f>
        <v>0</v>
      </c>
    </row>
    <row r="50" customFormat="false" ht="15" hidden="false" customHeight="false" outlineLevel="0" collapsed="false">
      <c r="A50" s="11" t="s">
        <v>211</v>
      </c>
      <c r="C50" s="19" t="n">
        <v>6</v>
      </c>
      <c r="D50" s="19" t="n">
        <v>1</v>
      </c>
      <c r="E50" s="19" t="n">
        <v>1</v>
      </c>
      <c r="F50" s="19" t="n">
        <v>1</v>
      </c>
      <c r="G50" s="19" t="n">
        <v>1</v>
      </c>
      <c r="H50" s="19" t="n">
        <v>1</v>
      </c>
      <c r="J50" s="13" t="s">
        <v>212</v>
      </c>
    </row>
    <row r="51" customFormat="false" ht="15" hidden="false" customHeight="false" outlineLevel="0" collapsed="false">
      <c r="A51" s="11" t="s">
        <v>213</v>
      </c>
      <c r="C51" s="20" t="n">
        <v>3</v>
      </c>
      <c r="D51" s="20" t="n">
        <v>0</v>
      </c>
      <c r="E51" s="20" t="n">
        <v>0</v>
      </c>
      <c r="F51" s="20" t="n">
        <v>0</v>
      </c>
      <c r="G51" s="20" t="n">
        <v>0</v>
      </c>
      <c r="H51" s="20" t="n">
        <v>0</v>
      </c>
    </row>
    <row r="52" customFormat="false" ht="15" hidden="false" customHeight="false" outlineLevel="0" collapsed="false">
      <c r="A52" s="11" t="s">
        <v>214</v>
      </c>
      <c r="C52" s="15" t="n">
        <v>0.25</v>
      </c>
      <c r="D52" s="15" t="n">
        <v>0</v>
      </c>
      <c r="E52" s="15" t="n">
        <v>0</v>
      </c>
      <c r="F52" s="15" t="n">
        <v>0</v>
      </c>
      <c r="G52" s="15" t="n">
        <v>0</v>
      </c>
      <c r="H52" s="15" t="n">
        <v>0</v>
      </c>
      <c r="J52" s="13" t="s">
        <v>215</v>
      </c>
    </row>
    <row r="54" customFormat="false" ht="15" hidden="false" customHeight="false" outlineLevel="0" collapsed="false">
      <c r="A54" s="4" t="s">
        <v>216</v>
      </c>
      <c r="B54" s="5"/>
      <c r="C54" s="5"/>
      <c r="D54" s="5"/>
      <c r="E54" s="5"/>
      <c r="F54" s="5"/>
      <c r="G54" s="5"/>
      <c r="H54" s="5"/>
      <c r="I54" s="5"/>
      <c r="J54" s="5"/>
    </row>
    <row r="55" customFormat="false" ht="15" hidden="false" customHeight="false" outlineLevel="0" collapsed="false">
      <c r="A55" s="11" t="s">
        <v>217</v>
      </c>
      <c r="C55" s="26" t="n">
        <f aca="false">SUM('Initiative Cash Flows'!$C$7:$N$7)+SUM('Initiative Cash Flows'!$C$8:$N$8)</f>
        <v>132966.8125</v>
      </c>
      <c r="D55" s="26" t="n">
        <f aca="false">SUM('Initiative Cash Flows'!$C$11:$N$11)+SUM('Initiative Cash Flows'!$C$12:$N$12)</f>
        <v>0</v>
      </c>
      <c r="E55" s="26" t="n">
        <f aca="false">SUM('Initiative Cash Flows'!$C$15:$N$15)+SUM('Initiative Cash Flows'!$C$16:$N$16)</f>
        <v>0</v>
      </c>
      <c r="F55" s="26" t="n">
        <f aca="false">SUM('Initiative Cash Flows'!$C$19:$N$19)+SUM('Initiative Cash Flows'!$C$20:$N$20)</f>
        <v>0</v>
      </c>
      <c r="G55" s="26" t="n">
        <f aca="false">SUM('Initiative Cash Flows'!$C$23:$N$23)+SUM('Initiative Cash Flows'!$C$24:$N$24)</f>
        <v>0</v>
      </c>
      <c r="H55" s="26" t="n">
        <f aca="false">SUM('Initiative Cash Flows'!$C$27:$N$27)+SUM('Initiative Cash Flows'!$C$28:$N$28)</f>
        <v>0</v>
      </c>
    </row>
    <row r="56" customFormat="false" ht="15" hidden="false" customHeight="false" outlineLevel="0" collapsed="false">
      <c r="A56" s="11" t="s">
        <v>218</v>
      </c>
      <c r="C56" s="26" t="n">
        <f aca="false">SUM('Initiative Cash Flows'!$C$9:$N$9)</f>
        <v>134158.333333333</v>
      </c>
      <c r="D56" s="26" t="n">
        <f aca="false">SUM('Initiative Cash Flows'!$C$13:$N$13)</f>
        <v>0</v>
      </c>
      <c r="E56" s="26" t="n">
        <f aca="false">SUM('Initiative Cash Flows'!$C$17:$N$17)</f>
        <v>0</v>
      </c>
      <c r="F56" s="26" t="n">
        <f aca="false">SUM('Initiative Cash Flows'!$C$21:$N$21)</f>
        <v>0</v>
      </c>
      <c r="G56" s="26" t="n">
        <f aca="false">SUM('Initiative Cash Flows'!$C$25:$N$25)</f>
        <v>0</v>
      </c>
      <c r="H56" s="26" t="n">
        <f aca="false">SUM('Initiative Cash Flows'!$C$29:$N$29)</f>
        <v>0</v>
      </c>
    </row>
    <row r="57" customFormat="false" ht="15" hidden="false" customHeight="false" outlineLevel="0" collapsed="false">
      <c r="A57" s="6" t="s">
        <v>219</v>
      </c>
      <c r="C57" s="27" t="n">
        <f aca="false">C56-C55</f>
        <v>1191.52083333334</v>
      </c>
      <c r="D57" s="27" t="n">
        <f aca="false">D56-D55</f>
        <v>0</v>
      </c>
      <c r="E57" s="27" t="n">
        <f aca="false">E56-E55</f>
        <v>0</v>
      </c>
      <c r="F57" s="27" t="n">
        <f aca="false">F56-F55</f>
        <v>0</v>
      </c>
      <c r="G57" s="27" t="n">
        <f aca="false">G56-G55</f>
        <v>0</v>
      </c>
      <c r="H57" s="27" t="n">
        <f aca="false">H56-H55</f>
        <v>0</v>
      </c>
    </row>
    <row r="58" customFormat="false" ht="15" hidden="false" customHeight="false" outlineLevel="0" collapsed="false">
      <c r="A58" s="6" t="s">
        <v>220</v>
      </c>
      <c r="C58" s="27" t="n">
        <f aca="false">C49*Assumptions!$B$61-C28*Assumptions!$B$62</f>
        <v>68890.75</v>
      </c>
      <c r="D58" s="27" t="n">
        <f aca="false">D49*Assumptions!$B$61-D28*Assumptions!$B$62</f>
        <v>0</v>
      </c>
      <c r="E58" s="27" t="n">
        <f aca="false">E49*Assumptions!$B$61-E28*Assumptions!$B$62</f>
        <v>0</v>
      </c>
      <c r="F58" s="27" t="n">
        <f aca="false">F49*Assumptions!$B$61-F28*Assumptions!$B$62</f>
        <v>0</v>
      </c>
      <c r="G58" s="27" t="n">
        <f aca="false">G49*Assumptions!$B$61-G28*Assumptions!$B$62</f>
        <v>0</v>
      </c>
      <c r="H58" s="27" t="n">
        <f aca="false">H49*Assumptions!$B$61-H28*Assumptions!$B$62</f>
        <v>0</v>
      </c>
    </row>
    <row r="59" customFormat="false" ht="15" hidden="false" customHeight="false" outlineLevel="0" collapsed="false">
      <c r="A59" s="11" t="s">
        <v>221</v>
      </c>
      <c r="C59" s="26" t="n">
        <f aca="false">IFERROR(C28/C43,"n/a")</f>
        <v>344312.142857143</v>
      </c>
      <c r="D59" s="26" t="str">
        <f aca="false">IFERROR(D28/D43,"n/a")</f>
        <v>n/a</v>
      </c>
      <c r="E59" s="26" t="str">
        <f aca="false">IFERROR(E28/E43,"n/a")</f>
        <v>n/a</v>
      </c>
      <c r="F59" s="26" t="str">
        <f aca="false">IFERROR(F28/F43,"n/a")</f>
        <v>n/a</v>
      </c>
      <c r="G59" s="26" t="str">
        <f aca="false">IFERROR(G28/G43,"n/a")</f>
        <v>n/a</v>
      </c>
      <c r="H59" s="26" t="str">
        <f aca="false">IFERROR(H28/H43,"n/a")</f>
        <v>n/a</v>
      </c>
      <c r="J59" s="13" t="s">
        <v>222</v>
      </c>
    </row>
    <row r="60" customFormat="false" ht="15" hidden="false" customHeight="false" outlineLevel="0" collapsed="false">
      <c r="A60" s="11" t="s">
        <v>223</v>
      </c>
      <c r="C60" s="28" t="n">
        <f aca="false">IFERROR(C59/SUM('Monthly Cash Flow'!$C$7:$N$7),"n/a")</f>
        <v>0.0558243122524458</v>
      </c>
      <c r="D60" s="28" t="str">
        <f aca="false">IFERROR(D59/SUM('Monthly Cash Flow'!$C$7:$N$7),"n/a")</f>
        <v>n/a</v>
      </c>
      <c r="E60" s="28" t="str">
        <f aca="false">IFERROR(E59/SUM('Monthly Cash Flow'!$C$7:$N$7),"n/a")</f>
        <v>n/a</v>
      </c>
      <c r="F60" s="28" t="str">
        <f aca="false">IFERROR(F59/SUM('Monthly Cash Flow'!$C$7:$N$7),"n/a")</f>
        <v>n/a</v>
      </c>
      <c r="G60" s="28" t="str">
        <f aca="false">IFERROR(G59/SUM('Monthly Cash Flow'!$C$7:$N$7),"n/a")</f>
        <v>n/a</v>
      </c>
      <c r="H60" s="28" t="str">
        <f aca="false">IFERROR(H59/SUM('Monthly Cash Flow'!$C$7:$N$7),"n/a")</f>
        <v>n/a</v>
      </c>
    </row>
    <row r="61" customFormat="false" ht="15" hidden="false" customHeight="false" outlineLevel="0" collapsed="false">
      <c r="A61" s="11" t="s">
        <v>224</v>
      </c>
      <c r="C61" s="26" t="n">
        <f aca="false">C39+C11*C52</f>
        <v>43750</v>
      </c>
      <c r="D61" s="26" t="n">
        <f aca="false">D39+D11*D52</f>
        <v>0</v>
      </c>
      <c r="E61" s="26" t="n">
        <f aca="false">E39+E11*E52</f>
        <v>0</v>
      </c>
      <c r="F61" s="26" t="n">
        <f aca="false">F39+F11*F52</f>
        <v>0</v>
      </c>
      <c r="G61" s="26" t="n">
        <f aca="false">G39+G11*G52</f>
        <v>0</v>
      </c>
      <c r="H61" s="26" t="n">
        <f aca="false">H39+H11*H52</f>
        <v>0</v>
      </c>
      <c r="J61" s="13" t="s">
        <v>225</v>
      </c>
    </row>
    <row r="63" customFormat="false" ht="15" hidden="false" customHeight="false" outlineLevel="0" collapsed="false">
      <c r="A63" s="4" t="s">
        <v>226</v>
      </c>
      <c r="B63" s="5"/>
      <c r="C63" s="5"/>
      <c r="D63" s="5"/>
      <c r="E63" s="5"/>
      <c r="F63" s="5"/>
      <c r="G63" s="5"/>
      <c r="H63" s="5"/>
      <c r="I63" s="5"/>
      <c r="J63" s="5"/>
    </row>
    <row r="64" customFormat="false" ht="15" hidden="false" customHeight="false" outlineLevel="0" collapsed="false">
      <c r="A64" s="11" t="s">
        <v>227</v>
      </c>
      <c r="C64" s="31" t="n">
        <f aca="false">MAX(0,C51-(24-C8+1)/12)</f>
        <v>1.08333333333333</v>
      </c>
      <c r="D64" s="31" t="n">
        <f aca="false">MAX(0,D51-(24-D8+1)/12)</f>
        <v>0</v>
      </c>
      <c r="E64" s="31" t="n">
        <f aca="false">MAX(0,E51-(24-E8+1)/12)</f>
        <v>0</v>
      </c>
      <c r="F64" s="31" t="n">
        <f aca="false">MAX(0,F51-(24-F8+1)/12)</f>
        <v>0</v>
      </c>
      <c r="G64" s="31" t="n">
        <f aca="false">MAX(0,G51-(24-G8+1)/12)</f>
        <v>0</v>
      </c>
      <c r="H64" s="31" t="n">
        <f aca="false">MAX(0,H51-(24-H8+1)/12)</f>
        <v>0</v>
      </c>
    </row>
    <row r="65" customFormat="false" ht="15" hidden="false" customHeight="false" outlineLevel="0" collapsed="false">
      <c r="A65" s="11" t="s">
        <v>228</v>
      </c>
      <c r="C65" s="26" t="n">
        <f aca="false">IF(C64&lt;=0,0,PV(Assumptions!$B$8,C64,-(C58*(1-Assumptions!$B$10))))</f>
        <v>48397.0298797727</v>
      </c>
      <c r="D65" s="26" t="n">
        <f aca="false">IF(D64&lt;=0,0,PV(Assumptions!$B$8,D64,-(D58*(1-Assumptions!$B$10))))</f>
        <v>0</v>
      </c>
      <c r="E65" s="26" t="n">
        <f aca="false">IF(E64&lt;=0,0,PV(Assumptions!$B$8,E64,-(E58*(1-Assumptions!$B$10))))</f>
        <v>0</v>
      </c>
      <c r="F65" s="26" t="n">
        <f aca="false">IF(F64&lt;=0,0,PV(Assumptions!$B$8,F64,-(F58*(1-Assumptions!$B$10))))</f>
        <v>0</v>
      </c>
      <c r="G65" s="26" t="n">
        <f aca="false">IF(G64&lt;=0,0,PV(Assumptions!$B$8,G64,-(G58*(1-Assumptions!$B$10))))</f>
        <v>0</v>
      </c>
      <c r="H65" s="26" t="n">
        <f aca="false">IF(H64&lt;=0,0,PV(Assumptions!$B$8,H64,-(H58*(1-Assumptions!$B$10))))</f>
        <v>0</v>
      </c>
      <c r="J65" s="13" t="s">
        <v>229</v>
      </c>
    </row>
    <row r="66" customFormat="false" ht="15" hidden="false" customHeight="false" outlineLevel="0" collapsed="false">
      <c r="A66" s="11" t="s">
        <v>230</v>
      </c>
      <c r="C66" s="25" t="s">
        <v>161</v>
      </c>
      <c r="D66" s="25" t="s">
        <v>161</v>
      </c>
      <c r="E66" s="25" t="s">
        <v>161</v>
      </c>
      <c r="F66" s="25" t="s">
        <v>161</v>
      </c>
      <c r="G66" s="25" t="s">
        <v>161</v>
      </c>
      <c r="H66" s="25" t="s">
        <v>161</v>
      </c>
      <c r="J66" s="13" t="s">
        <v>231</v>
      </c>
    </row>
  </sheetData>
  <dataValidations count="2">
    <dataValidation allowBlank="false" errorStyle="stop" operator="between" showDropDown="false" showErrorMessage="false" showInputMessage="false" sqref="C7:H7" type="list">
      <formula1>"Yes,No"</formula1>
      <formula2>0</formula2>
    </dataValidation>
    <dataValidation allowBlank="false" errorStyle="stop" operator="between" showDropDown="false" showErrorMessage="false" showInputMessage="false" sqref="C66:H66"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
    <col collapsed="false" customWidth="true" hidden="false" outlineLevel="0" max="6" min="3" style="0" width="15"/>
    <col collapsed="false" customWidth="true" hidden="false" outlineLevel="0" max="7" min="7" style="0" width="2"/>
    <col collapsed="false" customWidth="true" hidden="false" outlineLevel="0" max="8" min="8" style="0" width="64"/>
  </cols>
  <sheetData>
    <row r="1" customFormat="false" ht="17.35" hidden="false" customHeight="false" outlineLevel="0" collapsed="false">
      <c r="A1" s="10" t="s">
        <v>232</v>
      </c>
    </row>
    <row r="2" customFormat="false" ht="15" hidden="false" customHeight="false" outlineLevel="0" collapsed="false">
      <c r="A2" s="3" t="s">
        <v>233</v>
      </c>
    </row>
    <row r="3" customFormat="false" ht="15" hidden="false" customHeight="false" outlineLevel="0" collapsed="false">
      <c r="C3" s="22" t="s">
        <v>234</v>
      </c>
      <c r="D3" s="22" t="s">
        <v>235</v>
      </c>
      <c r="E3" s="22" t="s">
        <v>236</v>
      </c>
      <c r="F3" s="22" t="s">
        <v>237</v>
      </c>
    </row>
    <row r="4" customFormat="false" ht="15" hidden="false" customHeight="false" outlineLevel="0" collapsed="false">
      <c r="A4" s="4" t="s">
        <v>238</v>
      </c>
      <c r="B4" s="5"/>
      <c r="C4" s="5"/>
      <c r="D4" s="5"/>
      <c r="E4" s="5"/>
      <c r="F4" s="5"/>
      <c r="G4" s="5"/>
      <c r="H4" s="5"/>
    </row>
    <row r="5" customFormat="false" ht="15" hidden="false" customHeight="false" outlineLevel="0" collapsed="false">
      <c r="A5" s="11" t="s">
        <v>239</v>
      </c>
      <c r="C5" s="25" t="s">
        <v>240</v>
      </c>
      <c r="D5" s="25"/>
      <c r="E5" s="25"/>
      <c r="F5" s="25"/>
    </row>
    <row r="6" customFormat="false" ht="15" hidden="false" customHeight="false" outlineLevel="0" collapsed="false">
      <c r="A6" s="11" t="s">
        <v>241</v>
      </c>
      <c r="C6" s="25" t="s">
        <v>242</v>
      </c>
      <c r="D6" s="25"/>
      <c r="E6" s="25"/>
      <c r="F6" s="25"/>
    </row>
    <row r="7" customFormat="false" ht="15" hidden="false" customHeight="false" outlineLevel="0" collapsed="false">
      <c r="A7" s="11" t="s">
        <v>160</v>
      </c>
      <c r="C7" s="25" t="s">
        <v>161</v>
      </c>
      <c r="D7" s="25" t="s">
        <v>162</v>
      </c>
      <c r="E7" s="25" t="s">
        <v>162</v>
      </c>
      <c r="F7" s="25" t="s">
        <v>162</v>
      </c>
      <c r="H7" s="13" t="s">
        <v>243</v>
      </c>
    </row>
    <row r="8" customFormat="false" ht="15" hidden="false" customHeight="false" outlineLevel="0" collapsed="false">
      <c r="A8" s="11" t="s">
        <v>244</v>
      </c>
      <c r="C8" s="19" t="n">
        <v>3</v>
      </c>
      <c r="D8" s="19" t="n">
        <v>1</v>
      </c>
      <c r="E8" s="19" t="n">
        <v>1</v>
      </c>
      <c r="F8" s="19" t="n">
        <v>1</v>
      </c>
    </row>
    <row r="10" customFormat="false" ht="15" hidden="false" customHeight="false" outlineLevel="0" collapsed="false">
      <c r="A10" s="4" t="s">
        <v>245</v>
      </c>
      <c r="B10" s="5"/>
      <c r="C10" s="5"/>
      <c r="D10" s="5"/>
      <c r="E10" s="5"/>
      <c r="F10" s="5"/>
      <c r="G10" s="5"/>
      <c r="H10" s="5"/>
    </row>
    <row r="11" customFormat="false" ht="15" hidden="false" customHeight="false" outlineLevel="0" collapsed="false">
      <c r="A11" s="11" t="s">
        <v>246</v>
      </c>
      <c r="C11" s="17" t="n">
        <v>180000</v>
      </c>
      <c r="D11" s="17" t="n">
        <v>0</v>
      </c>
      <c r="E11" s="17" t="n">
        <v>0</v>
      </c>
      <c r="F11" s="17" t="n">
        <v>0</v>
      </c>
    </row>
    <row r="12" customFormat="false" ht="15" hidden="false" customHeight="false" outlineLevel="0" collapsed="false">
      <c r="A12" s="11" t="s">
        <v>247</v>
      </c>
      <c r="C12" s="17" t="n">
        <v>12000</v>
      </c>
      <c r="D12" s="17" t="n">
        <v>0</v>
      </c>
      <c r="E12" s="17" t="n">
        <v>0</v>
      </c>
      <c r="F12" s="17" t="n">
        <v>0</v>
      </c>
      <c r="H12" s="13" t="s">
        <v>248</v>
      </c>
    </row>
    <row r="13" customFormat="false" ht="15" hidden="false" customHeight="false" outlineLevel="0" collapsed="false">
      <c r="A13" s="11" t="s">
        <v>249</v>
      </c>
      <c r="C13" s="15" t="n">
        <v>0.06</v>
      </c>
      <c r="D13" s="15" t="n">
        <v>0</v>
      </c>
      <c r="E13" s="15" t="n">
        <v>0</v>
      </c>
      <c r="F13" s="15" t="n">
        <v>0</v>
      </c>
    </row>
    <row r="14" customFormat="false" ht="15" hidden="false" customHeight="false" outlineLevel="0" collapsed="false">
      <c r="A14" s="11" t="s">
        <v>250</v>
      </c>
      <c r="C14" s="26" t="n">
        <f aca="false">(C11+C12)*C13</f>
        <v>11520</v>
      </c>
      <c r="D14" s="26" t="n">
        <f aca="false">(D11+D12)*D13</f>
        <v>0</v>
      </c>
      <c r="E14" s="26" t="n">
        <f aca="false">(E11+E12)*E13</f>
        <v>0</v>
      </c>
      <c r="F14" s="26" t="n">
        <f aca="false">(F11+F12)*F13</f>
        <v>0</v>
      </c>
    </row>
    <row r="15" customFormat="false" ht="15" hidden="false" customHeight="false" outlineLevel="0" collapsed="false">
      <c r="A15" s="11" t="s">
        <v>251</v>
      </c>
      <c r="C15" s="17" t="n">
        <v>8000</v>
      </c>
      <c r="D15" s="17" t="n">
        <v>0</v>
      </c>
      <c r="E15" s="17" t="n">
        <v>0</v>
      </c>
      <c r="F15" s="17" t="n">
        <v>0</v>
      </c>
    </row>
    <row r="16" customFormat="false" ht="15" hidden="false" customHeight="false" outlineLevel="0" collapsed="false">
      <c r="A16" s="6" t="s">
        <v>252</v>
      </c>
      <c r="C16" s="27" t="n">
        <f aca="false">C11+C12+C14+C15</f>
        <v>211520</v>
      </c>
      <c r="D16" s="27" t="n">
        <f aca="false">D11+D12+D14+D15</f>
        <v>0</v>
      </c>
      <c r="E16" s="27" t="n">
        <f aca="false">E11+E12+E14+E15</f>
        <v>0</v>
      </c>
      <c r="F16" s="27" t="n">
        <f aca="false">F11+F12+F14+F15</f>
        <v>0</v>
      </c>
    </row>
    <row r="18" customFormat="false" ht="15" hidden="false" customHeight="false" outlineLevel="0" collapsed="false">
      <c r="A18" s="4" t="s">
        <v>253</v>
      </c>
      <c r="B18" s="5"/>
      <c r="C18" s="5"/>
      <c r="D18" s="5"/>
      <c r="E18" s="5"/>
      <c r="F18" s="5"/>
      <c r="G18" s="5"/>
      <c r="H18" s="5"/>
    </row>
    <row r="19" customFormat="false" ht="15" hidden="false" customHeight="false" outlineLevel="0" collapsed="false">
      <c r="A19" s="11" t="s">
        <v>254</v>
      </c>
      <c r="C19" s="25" t="s">
        <v>255</v>
      </c>
      <c r="D19" s="25" t="s">
        <v>256</v>
      </c>
      <c r="E19" s="25" t="s">
        <v>256</v>
      </c>
      <c r="F19" s="25" t="s">
        <v>256</v>
      </c>
      <c r="H19" s="13" t="s">
        <v>257</v>
      </c>
    </row>
    <row r="20" customFormat="false" ht="15" hidden="false" customHeight="false" outlineLevel="0" collapsed="false">
      <c r="A20" s="11" t="s">
        <v>258</v>
      </c>
      <c r="C20" s="15" t="n">
        <v>0.2</v>
      </c>
      <c r="D20" s="15" t="n">
        <v>0</v>
      </c>
      <c r="E20" s="15" t="n">
        <v>0</v>
      </c>
      <c r="F20" s="15" t="n">
        <v>0</v>
      </c>
    </row>
    <row r="21" customFormat="false" ht="15" hidden="false" customHeight="false" outlineLevel="0" collapsed="false">
      <c r="A21" s="11" t="s">
        <v>259</v>
      </c>
      <c r="C21" s="26" t="n">
        <f aca="false">IF(C19="Loan",C16*C20,0)</f>
        <v>42304</v>
      </c>
      <c r="D21" s="26" t="n">
        <f aca="false">IF(D19="Loan",D16*D20,0)</f>
        <v>0</v>
      </c>
      <c r="E21" s="26" t="n">
        <f aca="false">IF(E19="Loan",E16*E20,0)</f>
        <v>0</v>
      </c>
      <c r="F21" s="26" t="n">
        <f aca="false">IF(F19="Loan",F16*F20,0)</f>
        <v>0</v>
      </c>
    </row>
    <row r="22" customFormat="false" ht="15" hidden="false" customHeight="false" outlineLevel="0" collapsed="false">
      <c r="A22" s="11" t="s">
        <v>260</v>
      </c>
      <c r="C22" s="26" t="n">
        <f aca="false">IF(C19="Loan",C16-C21,0)</f>
        <v>169216</v>
      </c>
      <c r="D22" s="26" t="n">
        <f aca="false">IF(D19="Loan",D16-D21,0)</f>
        <v>0</v>
      </c>
      <c r="E22" s="26" t="n">
        <f aca="false">IF(E19="Loan",E16-E21,0)</f>
        <v>0</v>
      </c>
      <c r="F22" s="26" t="n">
        <f aca="false">IF(F19="Loan",F16-F21,0)</f>
        <v>0</v>
      </c>
    </row>
    <row r="23" customFormat="false" ht="15" hidden="false" customHeight="false" outlineLevel="0" collapsed="false">
      <c r="A23" s="11" t="s">
        <v>261</v>
      </c>
      <c r="C23" s="15" t="n">
        <v>0.085</v>
      </c>
      <c r="D23" s="15" t="n">
        <v>0</v>
      </c>
      <c r="E23" s="15" t="n">
        <v>0</v>
      </c>
      <c r="F23" s="15" t="n">
        <v>0</v>
      </c>
    </row>
    <row r="24" customFormat="false" ht="15" hidden="false" customHeight="false" outlineLevel="0" collapsed="false">
      <c r="A24" s="11" t="s">
        <v>262</v>
      </c>
      <c r="C24" s="19" t="n">
        <v>60</v>
      </c>
      <c r="D24" s="19" t="n">
        <v>0</v>
      </c>
      <c r="E24" s="19" t="n">
        <v>0</v>
      </c>
      <c r="F24" s="19" t="n">
        <v>0</v>
      </c>
    </row>
    <row r="25" customFormat="false" ht="15" hidden="false" customHeight="false" outlineLevel="0" collapsed="false">
      <c r="A25" s="6" t="s">
        <v>263</v>
      </c>
      <c r="C25" s="27" t="n">
        <f aca="false">IFERROR(IF(AND(C19="Loan",C24&gt;0),-PMT(C23/12,C24,C22),0),0)</f>
        <v>3471.7253650383</v>
      </c>
      <c r="D25" s="27" t="n">
        <f aca="false">IFERROR(IF(AND(D19="Loan",D24&gt;0),-PMT(D23/12,D24,D22),0),0)</f>
        <v>0</v>
      </c>
      <c r="E25" s="27" t="n">
        <f aca="false">IFERROR(IF(AND(E19="Loan",E24&gt;0),-PMT(E23/12,E24,E22),0),0)</f>
        <v>0</v>
      </c>
      <c r="F25" s="27" t="n">
        <f aca="false">IFERROR(IF(AND(F19="Loan",F24&gt;0),-PMT(F23/12,F24,F22),0),0)</f>
        <v>0</v>
      </c>
    </row>
    <row r="26" customFormat="false" ht="15" hidden="false" customHeight="false" outlineLevel="0" collapsed="false">
      <c r="A26" s="11" t="s">
        <v>264</v>
      </c>
      <c r="C26" s="17" t="n">
        <v>0</v>
      </c>
      <c r="D26" s="17" t="n">
        <v>0</v>
      </c>
      <c r="E26" s="17" t="n">
        <v>0</v>
      </c>
      <c r="F26" s="17" t="n">
        <v>0</v>
      </c>
      <c r="H26" s="13" t="s">
        <v>265</v>
      </c>
    </row>
    <row r="27" customFormat="false" ht="15" hidden="false" customHeight="false" outlineLevel="0" collapsed="false">
      <c r="A27" s="11" t="s">
        <v>266</v>
      </c>
      <c r="C27" s="19" t="n">
        <v>0</v>
      </c>
      <c r="D27" s="19" t="n">
        <v>0</v>
      </c>
      <c r="E27" s="19" t="n">
        <v>0</v>
      </c>
      <c r="F27" s="19" t="n">
        <v>0</v>
      </c>
    </row>
    <row r="28" customFormat="false" ht="15" hidden="false" customHeight="false" outlineLevel="0" collapsed="false">
      <c r="A28" s="6" t="s">
        <v>267</v>
      </c>
      <c r="C28" s="27" t="n">
        <f aca="false">IF(C19="Cash",C16,IF(C19="Loan",C21,0))</f>
        <v>42304</v>
      </c>
      <c r="D28" s="27" t="n">
        <f aca="false">IF(D19="Cash",D16,IF(D19="Loan",D21,0))</f>
        <v>0</v>
      </c>
      <c r="E28" s="27" t="n">
        <f aca="false">IF(E19="Cash",E16,IF(E19="Loan",E21,0))</f>
        <v>0</v>
      </c>
      <c r="F28" s="27" t="n">
        <f aca="false">IF(F19="Cash",F16,IF(F19="Loan",F21,0))</f>
        <v>0</v>
      </c>
      <c r="H28" s="13" t="s">
        <v>268</v>
      </c>
    </row>
    <row r="29" customFormat="false" ht="15" hidden="false" customHeight="false" outlineLevel="0" collapsed="false">
      <c r="A29" s="11" t="s">
        <v>269</v>
      </c>
      <c r="C29" s="26" t="n">
        <f aca="false">IF(C19="Loan",C21+C25*C24,IF(C19="Lease",C26*C27,C16))</f>
        <v>250607.521902298</v>
      </c>
      <c r="D29" s="26" t="n">
        <f aca="false">IF(D19="Loan",D21+D25*D24,IF(D19="Lease",D26*D27,D16))</f>
        <v>0</v>
      </c>
      <c r="E29" s="26" t="n">
        <f aca="false">IF(E19="Loan",E21+E25*E24,IF(E19="Lease",E26*E27,E16))</f>
        <v>0</v>
      </c>
      <c r="F29" s="26" t="n">
        <f aca="false">IF(F19="Loan",F21+F25*F24,IF(F19="Lease",F26*F27,F16))</f>
        <v>0</v>
      </c>
    </row>
    <row r="31" customFormat="false" ht="15" hidden="false" customHeight="false" outlineLevel="0" collapsed="false">
      <c r="A31" s="4" t="s">
        <v>270</v>
      </c>
      <c r="B31" s="5"/>
      <c r="C31" s="5"/>
      <c r="D31" s="5"/>
      <c r="E31" s="5"/>
      <c r="F31" s="5"/>
      <c r="G31" s="5"/>
      <c r="H31" s="5"/>
    </row>
    <row r="32" customFormat="false" ht="15" hidden="false" customHeight="false" outlineLevel="0" collapsed="false">
      <c r="A32" s="11" t="s">
        <v>271</v>
      </c>
      <c r="C32" s="17" t="n">
        <v>9000</v>
      </c>
      <c r="D32" s="17" t="n">
        <v>0</v>
      </c>
      <c r="E32" s="17" t="n">
        <v>0</v>
      </c>
      <c r="F32" s="17" t="n">
        <v>0</v>
      </c>
    </row>
    <row r="33" customFormat="false" ht="15" hidden="false" customHeight="false" outlineLevel="0" collapsed="false">
      <c r="A33" s="11" t="s">
        <v>272</v>
      </c>
      <c r="C33" s="17" t="n">
        <v>2400</v>
      </c>
      <c r="D33" s="17" t="n">
        <v>0</v>
      </c>
      <c r="E33" s="17" t="n">
        <v>0</v>
      </c>
      <c r="F33" s="17" t="n">
        <v>0</v>
      </c>
    </row>
    <row r="34" customFormat="false" ht="15" hidden="false" customHeight="false" outlineLevel="0" collapsed="false">
      <c r="A34" s="11" t="s">
        <v>273</v>
      </c>
      <c r="C34" s="17" t="n">
        <v>6000</v>
      </c>
      <c r="D34" s="17" t="n">
        <v>0</v>
      </c>
      <c r="E34" s="17" t="n">
        <v>0</v>
      </c>
      <c r="F34" s="17" t="n">
        <v>0</v>
      </c>
    </row>
    <row r="35" customFormat="false" ht="15" hidden="false" customHeight="false" outlineLevel="0" collapsed="false">
      <c r="A35" s="11" t="s">
        <v>274</v>
      </c>
      <c r="C35" s="17" t="n">
        <v>0</v>
      </c>
      <c r="D35" s="17" t="n">
        <v>0</v>
      </c>
      <c r="E35" s="17" t="n">
        <v>0</v>
      </c>
      <c r="F35" s="17" t="n">
        <v>0</v>
      </c>
      <c r="H35" s="13" t="s">
        <v>275</v>
      </c>
    </row>
    <row r="36" customFormat="false" ht="15" hidden="false" customHeight="false" outlineLevel="0" collapsed="false">
      <c r="A36" s="11" t="s">
        <v>276</v>
      </c>
      <c r="C36" s="17" t="n">
        <v>0</v>
      </c>
      <c r="D36" s="17" t="n">
        <v>0</v>
      </c>
      <c r="E36" s="17" t="n">
        <v>0</v>
      </c>
      <c r="F36" s="17" t="n">
        <v>0</v>
      </c>
    </row>
    <row r="37" customFormat="false" ht="15" hidden="false" customHeight="false" outlineLevel="0" collapsed="false">
      <c r="A37" s="6" t="s">
        <v>277</v>
      </c>
      <c r="C37" s="27" t="n">
        <f aca="false">SUM(C32:C36)</f>
        <v>17400</v>
      </c>
      <c r="D37" s="27" t="n">
        <f aca="false">SUM(D32:D36)</f>
        <v>0</v>
      </c>
      <c r="E37" s="27" t="n">
        <f aca="false">SUM(E32:E36)</f>
        <v>0</v>
      </c>
      <c r="F37" s="27" t="n">
        <f aca="false">SUM(F32:F36)</f>
        <v>0</v>
      </c>
    </row>
    <row r="38" customFormat="false" ht="15" hidden="false" customHeight="false" outlineLevel="0" collapsed="false">
      <c r="A38" s="11" t="s">
        <v>278</v>
      </c>
      <c r="C38" s="26" t="n">
        <f aca="false">C37/12</f>
        <v>1450</v>
      </c>
      <c r="D38" s="26" t="n">
        <f aca="false">D37/12</f>
        <v>0</v>
      </c>
      <c r="E38" s="26" t="n">
        <f aca="false">E37/12</f>
        <v>0</v>
      </c>
      <c r="F38" s="26" t="n">
        <f aca="false">F37/12</f>
        <v>0</v>
      </c>
    </row>
    <row r="40" customFormat="false" ht="15" hidden="false" customHeight="false" outlineLevel="0" collapsed="false">
      <c r="A40" s="4" t="s">
        <v>279</v>
      </c>
      <c r="B40" s="5"/>
      <c r="C40" s="5"/>
      <c r="D40" s="5"/>
      <c r="E40" s="5"/>
      <c r="F40" s="5"/>
      <c r="G40" s="5"/>
      <c r="H40" s="5"/>
    </row>
    <row r="41" customFormat="false" ht="15" hidden="false" customHeight="false" outlineLevel="0" collapsed="false">
      <c r="A41" s="11" t="s">
        <v>280</v>
      </c>
      <c r="C41" s="17" t="n">
        <v>240000</v>
      </c>
      <c r="D41" s="17" t="n">
        <v>0</v>
      </c>
      <c r="E41" s="17" t="n">
        <v>0</v>
      </c>
      <c r="F41" s="17" t="n">
        <v>0</v>
      </c>
    </row>
    <row r="42" customFormat="false" ht="15" hidden="false" customHeight="false" outlineLevel="0" collapsed="false">
      <c r="A42" s="11" t="s">
        <v>281</v>
      </c>
      <c r="C42" s="15" t="n">
        <v>0.4</v>
      </c>
      <c r="D42" s="15" t="n">
        <v>0</v>
      </c>
      <c r="E42" s="15" t="n">
        <v>0</v>
      </c>
      <c r="F42" s="15" t="n">
        <v>0</v>
      </c>
    </row>
    <row r="43" customFormat="false" ht="15" hidden="false" customHeight="false" outlineLevel="0" collapsed="false">
      <c r="A43" s="11" t="s">
        <v>282</v>
      </c>
      <c r="C43" s="26" t="n">
        <f aca="false">C41*C42</f>
        <v>96000</v>
      </c>
      <c r="D43" s="26" t="n">
        <f aca="false">D41*D42</f>
        <v>0</v>
      </c>
      <c r="E43" s="26" t="n">
        <f aca="false">E41*E42</f>
        <v>0</v>
      </c>
      <c r="F43" s="26" t="n">
        <f aca="false">F41*F42</f>
        <v>0</v>
      </c>
    </row>
    <row r="44" customFormat="false" ht="15" hidden="false" customHeight="false" outlineLevel="0" collapsed="false">
      <c r="A44" s="11" t="s">
        <v>283</v>
      </c>
      <c r="C44" s="17" t="n">
        <v>36000</v>
      </c>
      <c r="D44" s="17" t="n">
        <v>0</v>
      </c>
      <c r="E44" s="17" t="n">
        <v>0</v>
      </c>
      <c r="F44" s="17" t="n">
        <v>0</v>
      </c>
      <c r="H44" s="13" t="s">
        <v>284</v>
      </c>
    </row>
    <row r="45" customFormat="false" ht="15" hidden="false" customHeight="false" outlineLevel="0" collapsed="false">
      <c r="A45" s="11" t="s">
        <v>285</v>
      </c>
      <c r="C45" s="17" t="n">
        <v>18000</v>
      </c>
      <c r="D45" s="17" t="n">
        <v>0</v>
      </c>
      <c r="E45" s="17" t="n">
        <v>0</v>
      </c>
      <c r="F45" s="17" t="n">
        <v>0</v>
      </c>
    </row>
    <row r="46" customFormat="false" ht="15" hidden="false" customHeight="false" outlineLevel="0" collapsed="false">
      <c r="A46" s="11" t="s">
        <v>286</v>
      </c>
      <c r="C46" s="17" t="n">
        <v>6000</v>
      </c>
      <c r="D46" s="17" t="n">
        <v>0</v>
      </c>
      <c r="E46" s="17" t="n">
        <v>0</v>
      </c>
      <c r="F46" s="17" t="n">
        <v>0</v>
      </c>
    </row>
    <row r="47" customFormat="false" ht="15" hidden="false" customHeight="false" outlineLevel="0" collapsed="false">
      <c r="A47" s="6" t="s">
        <v>210</v>
      </c>
      <c r="C47" s="27" t="n">
        <f aca="false">C43+C44+C45+C46</f>
        <v>156000</v>
      </c>
      <c r="D47" s="27" t="n">
        <f aca="false">D43+D44+D45+D46</f>
        <v>0</v>
      </c>
      <c r="E47" s="27" t="n">
        <f aca="false">E43+E44+E45+E46</f>
        <v>0</v>
      </c>
      <c r="F47" s="27" t="n">
        <f aca="false">F43+F44+F45+F46</f>
        <v>0</v>
      </c>
    </row>
    <row r="48" customFormat="false" ht="15" hidden="false" customHeight="false" outlineLevel="0" collapsed="false">
      <c r="A48" s="11" t="s">
        <v>287</v>
      </c>
      <c r="C48" s="19" t="n">
        <v>4</v>
      </c>
      <c r="D48" s="19" t="n">
        <v>1</v>
      </c>
      <c r="E48" s="19" t="n">
        <v>1</v>
      </c>
      <c r="F48" s="19" t="n">
        <v>1</v>
      </c>
      <c r="H48" s="13" t="s">
        <v>288</v>
      </c>
    </row>
    <row r="50" customFormat="false" ht="15" hidden="false" customHeight="false" outlineLevel="0" collapsed="false">
      <c r="A50" s="4" t="s">
        <v>289</v>
      </c>
      <c r="B50" s="5"/>
      <c r="C50" s="5"/>
      <c r="D50" s="5"/>
      <c r="E50" s="5"/>
      <c r="F50" s="5"/>
      <c r="G50" s="5"/>
      <c r="H50" s="5"/>
    </row>
    <row r="51" customFormat="false" ht="15" hidden="false" customHeight="false" outlineLevel="0" collapsed="false">
      <c r="A51" s="11" t="s">
        <v>290</v>
      </c>
      <c r="C51" s="26" t="n">
        <f aca="false">IF(C19="Lease",0,C16)</f>
        <v>211520</v>
      </c>
      <c r="D51" s="26" t="n">
        <f aca="false">IF(D19="Lease",0,D16)</f>
        <v>0</v>
      </c>
      <c r="E51" s="26" t="n">
        <f aca="false">IF(E19="Lease",0,E16)</f>
        <v>0</v>
      </c>
      <c r="F51" s="26" t="n">
        <f aca="false">IF(F19="Lease",0,F16)</f>
        <v>0</v>
      </c>
    </row>
    <row r="52" customFormat="false" ht="15" hidden="false" customHeight="false" outlineLevel="0" collapsed="false">
      <c r="A52" s="11" t="s">
        <v>291</v>
      </c>
      <c r="C52" s="19" t="n">
        <v>7</v>
      </c>
      <c r="D52" s="19" t="n">
        <v>0</v>
      </c>
      <c r="E52" s="19" t="n">
        <v>0</v>
      </c>
      <c r="F52" s="19" t="n">
        <v>0</v>
      </c>
    </row>
    <row r="53" customFormat="false" ht="15" hidden="false" customHeight="false" outlineLevel="0" collapsed="false">
      <c r="A53" s="11" t="s">
        <v>292</v>
      </c>
      <c r="C53" s="17" t="n">
        <v>20000</v>
      </c>
      <c r="D53" s="17" t="n">
        <v>0</v>
      </c>
      <c r="E53" s="17" t="n">
        <v>0</v>
      </c>
      <c r="F53" s="17" t="n">
        <v>0</v>
      </c>
    </row>
    <row r="54" customFormat="false" ht="15" hidden="false" customHeight="false" outlineLevel="0" collapsed="false">
      <c r="A54" s="11" t="s">
        <v>293</v>
      </c>
      <c r="C54" s="25" t="s">
        <v>161</v>
      </c>
      <c r="D54" s="25" t="s">
        <v>162</v>
      </c>
      <c r="E54" s="25" t="s">
        <v>162</v>
      </c>
      <c r="F54" s="25" t="s">
        <v>162</v>
      </c>
      <c r="H54" s="13" t="s">
        <v>294</v>
      </c>
    </row>
    <row r="55" customFormat="false" ht="15" hidden="false" customHeight="false" outlineLevel="0" collapsed="false">
      <c r="A55" s="11" t="s">
        <v>295</v>
      </c>
      <c r="C55" s="15" t="n">
        <v>1</v>
      </c>
      <c r="D55" s="15" t="n">
        <v>0</v>
      </c>
      <c r="E55" s="15" t="n">
        <v>0</v>
      </c>
      <c r="F55" s="15" t="n">
        <v>0</v>
      </c>
    </row>
    <row r="56" customFormat="false" ht="15" hidden="false" customHeight="false" outlineLevel="0" collapsed="false">
      <c r="A56" s="11" t="s">
        <v>296</v>
      </c>
      <c r="C56" s="26" t="n">
        <f aca="false">IF(C51=0,0,IF(C54="Yes",C51*C55+MAX(0,C51*(1-C55)-C53)/MAX(1,C52),MAX(0,C51-C53)/MAX(1,C52)))</f>
        <v>211520</v>
      </c>
      <c r="D56" s="26" t="n">
        <f aca="false">IF(D51=0,0,IF(D54="Yes",D51*D55+MAX(0,D51*(1-D55)-D53)/MAX(1,D52),MAX(0,D51-D53)/MAX(1,D52)))</f>
        <v>0</v>
      </c>
      <c r="E56" s="26" t="n">
        <f aca="false">IF(E51=0,0,IF(E54="Yes",E51*E55+MAX(0,E51*(1-E55)-E53)/MAX(1,E52),MAX(0,E51-E53)/MAX(1,E52)))</f>
        <v>0</v>
      </c>
      <c r="F56" s="26" t="n">
        <f aca="false">IF(F51=0,0,IF(F54="Yes",F51*F55+MAX(0,F51*(1-F55)-F53)/MAX(1,F52),MAX(0,F51-F53)/MAX(1,F52)))</f>
        <v>0</v>
      </c>
    </row>
    <row r="57" customFormat="false" ht="15" hidden="false" customHeight="false" outlineLevel="0" collapsed="false">
      <c r="A57" s="11" t="s">
        <v>297</v>
      </c>
      <c r="C57" s="26" t="n">
        <f aca="false">IF(C51=0,0,IF(C54="Yes",MAX(0,C51*(1-C55)-C53)/MAX(1,C52),MAX(0,C51-C53)/MAX(1,C52)))</f>
        <v>0</v>
      </c>
      <c r="D57" s="26" t="n">
        <f aca="false">IF(D51=0,0,IF(D54="Yes",MAX(0,D51*(1-D55)-D53)/MAX(1,D52),MAX(0,D51-D53)/MAX(1,D52)))</f>
        <v>0</v>
      </c>
      <c r="E57" s="26" t="n">
        <f aca="false">IF(E51=0,0,IF(E54="Yes",MAX(0,E51*(1-E55)-E53)/MAX(1,E52),MAX(0,E51-E53)/MAX(1,E52)))</f>
        <v>0</v>
      </c>
      <c r="F57" s="26" t="n">
        <f aca="false">IF(F51=0,0,IF(F54="Yes",MAX(0,F51*(1-F55)-F53)/MAX(1,F52),MAX(0,F51-F53)/MAX(1,F52)))</f>
        <v>0</v>
      </c>
    </row>
    <row r="58" customFormat="false" ht="15" hidden="false" customHeight="false" outlineLevel="0" collapsed="false">
      <c r="A58" s="11" t="s">
        <v>298</v>
      </c>
      <c r="C58" s="26" t="n">
        <f aca="false">C56*Assumptions!$B$10</f>
        <v>52880</v>
      </c>
      <c r="D58" s="26" t="n">
        <f aca="false">D56*Assumptions!$B$10</f>
        <v>0</v>
      </c>
      <c r="E58" s="26" t="n">
        <f aca="false">E56*Assumptions!$B$10</f>
        <v>0</v>
      </c>
      <c r="F58" s="26" t="n">
        <f aca="false">F56*Assumptions!$B$10</f>
        <v>0</v>
      </c>
      <c r="H58" s="13" t="s">
        <v>299</v>
      </c>
    </row>
    <row r="59" customFormat="false" ht="15" hidden="false" customHeight="false" outlineLevel="0" collapsed="false">
      <c r="A59" s="11" t="s">
        <v>300</v>
      </c>
      <c r="C59" s="26" t="n">
        <f aca="false">C57*Assumptions!$B$10</f>
        <v>0</v>
      </c>
      <c r="D59" s="26" t="n">
        <f aca="false">D57*Assumptions!$B$10</f>
        <v>0</v>
      </c>
      <c r="E59" s="26" t="n">
        <f aca="false">E57*Assumptions!$B$10</f>
        <v>0</v>
      </c>
      <c r="F59" s="26" t="n">
        <f aca="false">F57*Assumptions!$B$10</f>
        <v>0</v>
      </c>
    </row>
    <row r="61" customFormat="false" ht="15" hidden="false" customHeight="false" outlineLevel="0" collapsed="false">
      <c r="A61" s="4" t="s">
        <v>301</v>
      </c>
      <c r="B61" s="5"/>
      <c r="C61" s="5"/>
      <c r="D61" s="5"/>
      <c r="E61" s="5"/>
      <c r="F61" s="5"/>
      <c r="G61" s="5"/>
      <c r="H61" s="5"/>
    </row>
    <row r="62" customFormat="false" ht="15" hidden="false" customHeight="false" outlineLevel="0" collapsed="false">
      <c r="A62" s="11" t="s">
        <v>302</v>
      </c>
      <c r="C62" s="26" t="n">
        <f aca="false">C16*C20</f>
        <v>42304</v>
      </c>
      <c r="D62" s="26" t="n">
        <f aca="false">D16*D20</f>
        <v>0</v>
      </c>
      <c r="E62" s="26" t="n">
        <f aca="false">E16*E20</f>
        <v>0</v>
      </c>
      <c r="F62" s="26" t="n">
        <f aca="false">F16*F20</f>
        <v>0</v>
      </c>
    </row>
    <row r="63" customFormat="false" ht="15" hidden="false" customHeight="false" outlineLevel="0" collapsed="false">
      <c r="A63" s="11" t="s">
        <v>303</v>
      </c>
      <c r="C63" s="26" t="n">
        <f aca="false">IFERROR(IF(C24&gt;0,-PMT(C23/12,C24,C16-C62),0),0)</f>
        <v>3471.7253650383</v>
      </c>
      <c r="D63" s="26" t="n">
        <f aca="false">IFERROR(IF(D24&gt;0,-PMT(D23/12,D24,D16-D62),0),0)</f>
        <v>0</v>
      </c>
      <c r="E63" s="26" t="n">
        <f aca="false">IFERROR(IF(E24&gt;0,-PMT(E23/12,E24,E16-E62),0),0)</f>
        <v>0</v>
      </c>
      <c r="F63" s="26" t="n">
        <f aca="false">IFERROR(IF(F24&gt;0,-PMT(F23/12,F24,F16-F62),0),0)</f>
        <v>0</v>
      </c>
    </row>
    <row r="64" customFormat="false" ht="15" hidden="false" customHeight="false" outlineLevel="0" collapsed="false">
      <c r="A64" s="11" t="s">
        <v>304</v>
      </c>
      <c r="C64" s="26" t="n">
        <f aca="false">C16</f>
        <v>211520</v>
      </c>
      <c r="D64" s="26" t="n">
        <f aca="false">D16</f>
        <v>0</v>
      </c>
      <c r="E64" s="26" t="n">
        <f aca="false">E16</f>
        <v>0</v>
      </c>
      <c r="F64" s="26" t="n">
        <f aca="false">F16</f>
        <v>0</v>
      </c>
    </row>
    <row r="65" customFormat="false" ht="15" hidden="false" customHeight="false" outlineLevel="0" collapsed="false">
      <c r="A65" s="11" t="s">
        <v>305</v>
      </c>
      <c r="C65" s="26" t="n">
        <f aca="false">C62+C63*C24</f>
        <v>250607.521902298</v>
      </c>
      <c r="D65" s="26" t="n">
        <f aca="false">D62+D63*D24</f>
        <v>0</v>
      </c>
      <c r="E65" s="26" t="n">
        <f aca="false">E62+E63*E24</f>
        <v>0</v>
      </c>
      <c r="F65" s="26" t="n">
        <f aca="false">F62+F63*F24</f>
        <v>0</v>
      </c>
    </row>
    <row r="66" customFormat="false" ht="15" hidden="false" customHeight="false" outlineLevel="0" collapsed="false">
      <c r="A66" s="11" t="s">
        <v>306</v>
      </c>
      <c r="C66" s="26" t="n">
        <f aca="false">C26*C27</f>
        <v>0</v>
      </c>
      <c r="D66" s="26" t="n">
        <f aca="false">D26*D27</f>
        <v>0</v>
      </c>
      <c r="E66" s="26" t="n">
        <f aca="false">E26*E27</f>
        <v>0</v>
      </c>
      <c r="F66" s="26" t="n">
        <f aca="false">F26*F27</f>
        <v>0</v>
      </c>
    </row>
    <row r="67" customFormat="false" ht="15" hidden="false" customHeight="false" outlineLevel="0" collapsed="false">
      <c r="A67" s="11" t="s">
        <v>307</v>
      </c>
      <c r="C67" s="26" t="n">
        <f aca="false">MAX(0,C65-C16)</f>
        <v>39087.5219022982</v>
      </c>
      <c r="D67" s="26" t="n">
        <f aca="false">MAX(0,D65-D16)</f>
        <v>0</v>
      </c>
      <c r="E67" s="26" t="n">
        <f aca="false">MAX(0,E65-E16)</f>
        <v>0</v>
      </c>
      <c r="F67" s="26" t="n">
        <f aca="false">MAX(0,F65-F16)</f>
        <v>0</v>
      </c>
    </row>
    <row r="68" customFormat="false" ht="15" hidden="false" customHeight="false" outlineLevel="0" collapsed="false">
      <c r="A68" s="11" t="s">
        <v>308</v>
      </c>
      <c r="C68" s="26" t="n">
        <f aca="false">C64-MAX(0,C16-C53)*Assumptions!$B$10-C53</f>
        <v>143640</v>
      </c>
      <c r="D68" s="26" t="n">
        <f aca="false">D64-MAX(0,D16-D53)*Assumptions!$B$10-D53</f>
        <v>0</v>
      </c>
      <c r="E68" s="26" t="n">
        <f aca="false">E64-MAX(0,E16-E53)*Assumptions!$B$10-E53</f>
        <v>0</v>
      </c>
      <c r="F68" s="26" t="n">
        <f aca="false">F64-MAX(0,F16-F53)*Assumptions!$B$10-F53</f>
        <v>0</v>
      </c>
    </row>
    <row r="69" customFormat="false" ht="15" hidden="false" customHeight="false" outlineLevel="0" collapsed="false">
      <c r="A69" s="11" t="s">
        <v>309</v>
      </c>
      <c r="C69" s="26" t="n">
        <f aca="false">C65-(MAX(0,C16-C53)+C67)*Assumptions!$B$10-C53</f>
        <v>172955.641426724</v>
      </c>
      <c r="D69" s="26" t="n">
        <f aca="false">D65-(MAX(0,D16-D53)+D67)*Assumptions!$B$10-D53</f>
        <v>0</v>
      </c>
      <c r="E69" s="26" t="n">
        <f aca="false">E65-(MAX(0,E16-E53)+E67)*Assumptions!$B$10-E53</f>
        <v>0</v>
      </c>
      <c r="F69" s="26" t="n">
        <f aca="false">F65-(MAX(0,F16-F53)+F67)*Assumptions!$B$10-F53</f>
        <v>0</v>
      </c>
    </row>
    <row r="70" customFormat="false" ht="15" hidden="false" customHeight="false" outlineLevel="0" collapsed="false">
      <c r="A70" s="11" t="s">
        <v>310</v>
      </c>
      <c r="C70" s="26" t="n">
        <f aca="false">C66*(1-Assumptions!$B$10)</f>
        <v>0</v>
      </c>
      <c r="D70" s="26" t="n">
        <f aca="false">D66*(1-Assumptions!$B$10)</f>
        <v>0</v>
      </c>
      <c r="E70" s="26" t="n">
        <f aca="false">E66*(1-Assumptions!$B$10)</f>
        <v>0</v>
      </c>
      <c r="F70" s="26" t="n">
        <f aca="false">F66*(1-Assumptions!$B$10)</f>
        <v>0</v>
      </c>
    </row>
    <row r="71" customFormat="false" ht="15" hidden="false" customHeight="false" outlineLevel="0" collapsed="false">
      <c r="A71" s="6" t="s">
        <v>311</v>
      </c>
      <c r="C71" s="32" t="str">
        <f aca="false">IF(C16=0,"-",IF(AND(C68&lt;=C69,C68&lt;=C70),"Buy with cash",IF(C69&lt;=C70,"Finance","Lease")))</f>
        <v>Lease</v>
      </c>
      <c r="D71" s="32" t="str">
        <f aca="false">IF(D16=0,"-",IF(AND(D68&lt;=D69,D68&lt;=D70),"Buy with cash",IF(D69&lt;=D70,"Finance","Lease")))</f>
        <v>-</v>
      </c>
      <c r="E71" s="32" t="str">
        <f aca="false">IF(E16=0,"-",IF(AND(E68&lt;=E69,E68&lt;=E70),"Buy with cash",IF(E69&lt;=E70,"Finance","Lease")))</f>
        <v>-</v>
      </c>
      <c r="F71" s="32" t="str">
        <f aca="false">IF(F16=0,"-",IF(AND(F68&lt;=F69,F68&lt;=F70),"Buy with cash",IF(F69&lt;=F70,"Finance","Lease")))</f>
        <v>-</v>
      </c>
      <c r="H71" s="13" t="s">
        <v>312</v>
      </c>
    </row>
    <row r="73" customFormat="false" ht="15" hidden="false" customHeight="false" outlineLevel="0" collapsed="false">
      <c r="A73" s="4" t="s">
        <v>313</v>
      </c>
      <c r="B73" s="5"/>
      <c r="C73" s="5"/>
      <c r="D73" s="5"/>
      <c r="E73" s="5"/>
      <c r="F73" s="5"/>
      <c r="G73" s="5"/>
      <c r="H73" s="5"/>
    </row>
    <row r="74" customFormat="false" ht="15" hidden="false" customHeight="false" outlineLevel="0" collapsed="false">
      <c r="A74" s="11" t="s">
        <v>314</v>
      </c>
      <c r="C74" s="26" t="n">
        <f aca="false">IF(C19="Cash",IFERROR(C16/MAX(1,C52),0),IF(C19="Loan",C25*12,C26*12))</f>
        <v>41660.7043804597</v>
      </c>
      <c r="D74" s="26" t="n">
        <f aca="false">IF(D19="Cash",IFERROR(D16/MAX(1,D52),0),IF(D19="Loan",D25*12,D26*12))</f>
        <v>0</v>
      </c>
      <c r="E74" s="26" t="n">
        <f aca="false">IF(E19="Cash",IFERROR(E16/MAX(1,E52),0),IF(E19="Loan",E25*12,E26*12))</f>
        <v>0</v>
      </c>
      <c r="F74" s="26" t="n">
        <f aca="false">IF(F19="Cash",IFERROR(F16/MAX(1,F52),0),IF(F19="Loan",F25*12,F26*12))</f>
        <v>0</v>
      </c>
    </row>
    <row r="75" customFormat="false" ht="15" hidden="false" customHeight="false" outlineLevel="0" collapsed="false">
      <c r="A75" s="6" t="s">
        <v>315</v>
      </c>
      <c r="C75" s="27" t="n">
        <f aca="false">C74+C37</f>
        <v>59060.7043804597</v>
      </c>
      <c r="D75" s="27" t="n">
        <f aca="false">D74+D37</f>
        <v>0</v>
      </c>
      <c r="E75" s="27" t="n">
        <f aca="false">E74+E37</f>
        <v>0</v>
      </c>
      <c r="F75" s="27" t="n">
        <f aca="false">F74+F37</f>
        <v>0</v>
      </c>
    </row>
    <row r="76" customFormat="false" ht="15" hidden="false" customHeight="false" outlineLevel="0" collapsed="false">
      <c r="A76" s="11" t="s">
        <v>316</v>
      </c>
      <c r="C76" s="26" t="n">
        <f aca="false">IFERROR(C75/C42,"n/a")</f>
        <v>147651.760951149</v>
      </c>
      <c r="D76" s="26" t="str">
        <f aca="false">IFERROR(D75/D42,"n/a")</f>
        <v>n/a</v>
      </c>
      <c r="E76" s="26" t="str">
        <f aca="false">IFERROR(E75/E42,"n/a")</f>
        <v>n/a</v>
      </c>
      <c r="F76" s="26" t="str">
        <f aca="false">IFERROR(F75/F42,"n/a")</f>
        <v>n/a</v>
      </c>
    </row>
    <row r="77" customFormat="false" ht="15" hidden="false" customHeight="false" outlineLevel="0" collapsed="false">
      <c r="A77" s="11" t="s">
        <v>317</v>
      </c>
      <c r="C77" s="28" t="n">
        <f aca="false">IF(C16=0,"-",(C47-C75)/C16)</f>
        <v>0.458298485342002</v>
      </c>
      <c r="D77" s="28" t="str">
        <f aca="false">IF(D16=0,"-",(D47-D75)/D16)</f>
        <v>-</v>
      </c>
      <c r="E77" s="28" t="str">
        <f aca="false">IF(E16=0,"-",(E47-E75)/E16)</f>
        <v>-</v>
      </c>
      <c r="F77" s="28" t="str">
        <f aca="false">IF(F16=0,"-",(F47-F75)/F16)</f>
        <v>-</v>
      </c>
      <c r="H77" s="13" t="s">
        <v>318</v>
      </c>
    </row>
    <row r="79" customFormat="false" ht="15" hidden="false" customHeight="false" outlineLevel="0" collapsed="false">
      <c r="A79" s="4" t="s">
        <v>226</v>
      </c>
      <c r="B79" s="5"/>
      <c r="C79" s="5"/>
      <c r="D79" s="5"/>
      <c r="E79" s="5"/>
      <c r="F79" s="5"/>
      <c r="G79" s="5"/>
      <c r="H79" s="5"/>
    </row>
    <row r="80" customFormat="false" ht="15" hidden="false" customHeight="false" outlineLevel="0" collapsed="false">
      <c r="A80" s="11" t="s">
        <v>319</v>
      </c>
      <c r="C80" s="31" t="n">
        <f aca="false">MAX(0,C52-(24-C8+1)/12)</f>
        <v>5.16666666666667</v>
      </c>
      <c r="D80" s="31" t="n">
        <f aca="false">MAX(0,D52-(24-D8+1)/12)</f>
        <v>0</v>
      </c>
      <c r="E80" s="31" t="n">
        <f aca="false">MAX(0,E52-(24-E8+1)/12)</f>
        <v>0</v>
      </c>
      <c r="F80" s="31" t="n">
        <f aca="false">MAX(0,F52-(24-F8+1)/12)</f>
        <v>0</v>
      </c>
    </row>
    <row r="81" customFormat="false" ht="15" hidden="false" customHeight="false" outlineLevel="0" collapsed="false">
      <c r="A81" s="11" t="s">
        <v>228</v>
      </c>
      <c r="C81" s="26" t="n">
        <f aca="false">IF(OR(C19="Lease",C80&lt;=0),0,PV(Assumptions!$B$8,C80,-((C47-C37)*(1-Assumptions!$B$10)))+C53/(1+Assumptions!$B$8)^C80)</f>
        <v>366104.038178524</v>
      </c>
      <c r="D81" s="26" t="n">
        <f aca="false">IF(OR(D19="Lease",D80&lt;=0),0,PV(Assumptions!$B$8,D80,-((D47-D37)*(1-Assumptions!$B$10)))+D53/(1+Assumptions!$B$8)^D80)</f>
        <v>0</v>
      </c>
      <c r="E81" s="26" t="n">
        <f aca="false">IF(OR(E19="Lease",E80&lt;=0),0,PV(Assumptions!$B$8,E80,-((E47-E37)*(1-Assumptions!$B$10)))+E53/(1+Assumptions!$B$8)^E80)</f>
        <v>0</v>
      </c>
      <c r="F81" s="26" t="n">
        <f aca="false">IF(OR(F19="Lease",F80&lt;=0),0,PV(Assumptions!$B$8,F80,-((F47-F37)*(1-Assumptions!$B$10)))+F53/(1+Assumptions!$B$8)^F80)</f>
        <v>0</v>
      </c>
      <c r="H81" s="13" t="s">
        <v>320</v>
      </c>
    </row>
    <row r="82" customFormat="false" ht="15" hidden="false" customHeight="false" outlineLevel="0" collapsed="false">
      <c r="A82" s="11" t="s">
        <v>230</v>
      </c>
      <c r="C82" s="25" t="s">
        <v>161</v>
      </c>
      <c r="D82" s="25" t="s">
        <v>161</v>
      </c>
      <c r="E82" s="25" t="s">
        <v>161</v>
      </c>
      <c r="F82" s="25" t="s">
        <v>161</v>
      </c>
      <c r="H82" s="13" t="s">
        <v>231</v>
      </c>
    </row>
  </sheetData>
  <dataValidations count="3">
    <dataValidation allowBlank="false" errorStyle="stop" operator="between" showDropDown="false" showErrorMessage="false" showInputMessage="false" sqref="C7:F7" type="list">
      <formula1>"Yes,No"</formula1>
      <formula2>0</formula2>
    </dataValidation>
    <dataValidation allowBlank="false" errorStyle="stop" operator="between" showDropDown="false" showErrorMessage="false" showInputMessage="false" sqref="C19:F19" type="list">
      <formula1>"Cash,Loan,Lease"</formula1>
      <formula2>0</formula2>
    </dataValidation>
    <dataValidation allowBlank="false" errorStyle="stop" operator="between" showDropDown="false" showErrorMessage="false" showInputMessage="false" sqref="C82:F82"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
    <col collapsed="false" customWidth="true" hidden="false" outlineLevel="0" max="6" min="3" style="0" width="15"/>
    <col collapsed="false" customWidth="true" hidden="false" outlineLevel="0" max="7" min="7" style="0" width="2"/>
    <col collapsed="false" customWidth="true" hidden="false" outlineLevel="0" max="8" min="8" style="0" width="64"/>
  </cols>
  <sheetData>
    <row r="1" customFormat="false" ht="17.35" hidden="false" customHeight="false" outlineLevel="0" collapsed="false">
      <c r="A1" s="10" t="s">
        <v>321</v>
      </c>
    </row>
    <row r="2" customFormat="false" ht="15" hidden="false" customHeight="false" outlineLevel="0" collapsed="false">
      <c r="A2" s="3" t="s">
        <v>322</v>
      </c>
    </row>
    <row r="3" customFormat="false" ht="15" hidden="false" customHeight="false" outlineLevel="0" collapsed="false">
      <c r="C3" s="22" t="s">
        <v>323</v>
      </c>
      <c r="D3" s="22" t="s">
        <v>324</v>
      </c>
      <c r="E3" s="22" t="s">
        <v>325</v>
      </c>
      <c r="F3" s="22" t="s">
        <v>326</v>
      </c>
    </row>
    <row r="4" customFormat="false" ht="15" hidden="false" customHeight="false" outlineLevel="0" collapsed="false">
      <c r="A4" s="4" t="s">
        <v>327</v>
      </c>
      <c r="B4" s="5"/>
      <c r="C4" s="5"/>
      <c r="D4" s="5"/>
      <c r="E4" s="5"/>
      <c r="F4" s="5"/>
      <c r="G4" s="5"/>
      <c r="H4" s="5"/>
    </row>
    <row r="5" customFormat="false" ht="15" hidden="false" customHeight="false" outlineLevel="0" collapsed="false">
      <c r="A5" s="11" t="s">
        <v>328</v>
      </c>
      <c r="C5" s="25" t="s">
        <v>329</v>
      </c>
      <c r="D5" s="25"/>
      <c r="E5" s="25"/>
      <c r="F5" s="25"/>
    </row>
    <row r="6" customFormat="false" ht="15" hidden="false" customHeight="false" outlineLevel="0" collapsed="false">
      <c r="A6" s="11" t="s">
        <v>330</v>
      </c>
      <c r="C6" s="25" t="s">
        <v>331</v>
      </c>
      <c r="D6" s="25"/>
      <c r="E6" s="25"/>
      <c r="F6" s="25"/>
      <c r="H6" s="13" t="s">
        <v>332</v>
      </c>
    </row>
    <row r="7" customFormat="false" ht="15" hidden="false" customHeight="false" outlineLevel="0" collapsed="false">
      <c r="A7" s="11" t="s">
        <v>160</v>
      </c>
      <c r="C7" s="25" t="s">
        <v>162</v>
      </c>
      <c r="D7" s="25" t="s">
        <v>162</v>
      </c>
      <c r="E7" s="25" t="s">
        <v>162</v>
      </c>
      <c r="F7" s="25" t="s">
        <v>162</v>
      </c>
    </row>
    <row r="8" customFormat="false" ht="15" hidden="false" customHeight="false" outlineLevel="0" collapsed="false">
      <c r="A8" s="11" t="s">
        <v>164</v>
      </c>
      <c r="C8" s="19" t="n">
        <v>1</v>
      </c>
      <c r="D8" s="19" t="n">
        <v>1</v>
      </c>
      <c r="E8" s="19" t="n">
        <v>1</v>
      </c>
      <c r="F8" s="19" t="n">
        <v>1</v>
      </c>
    </row>
    <row r="10" customFormat="false" ht="15" hidden="false" customHeight="false" outlineLevel="0" collapsed="false">
      <c r="A10" s="4" t="s">
        <v>333</v>
      </c>
      <c r="B10" s="5"/>
      <c r="C10" s="5"/>
      <c r="D10" s="5"/>
      <c r="E10" s="5"/>
      <c r="F10" s="5"/>
      <c r="G10" s="5"/>
      <c r="H10" s="5"/>
    </row>
    <row r="11" customFormat="false" ht="15" hidden="false" customHeight="false" outlineLevel="0" collapsed="false">
      <c r="A11" s="11" t="s">
        <v>334</v>
      </c>
      <c r="C11" s="17" t="n">
        <v>60000</v>
      </c>
      <c r="D11" s="17" t="n">
        <v>0</v>
      </c>
      <c r="E11" s="17" t="n">
        <v>0</v>
      </c>
      <c r="F11" s="17" t="n">
        <v>0</v>
      </c>
    </row>
    <row r="12" customFormat="false" ht="15" hidden="false" customHeight="false" outlineLevel="0" collapsed="false">
      <c r="A12" s="11" t="s">
        <v>335</v>
      </c>
      <c r="C12" s="17" t="n">
        <v>2500</v>
      </c>
      <c r="D12" s="17" t="n">
        <v>0</v>
      </c>
      <c r="E12" s="17" t="n">
        <v>0</v>
      </c>
      <c r="F12" s="17" t="n">
        <v>0</v>
      </c>
    </row>
    <row r="13" customFormat="false" ht="15" hidden="false" customHeight="false" outlineLevel="0" collapsed="false">
      <c r="A13" s="11" t="s">
        <v>336</v>
      </c>
      <c r="C13" s="26" t="n">
        <f aca="false">C12*12</f>
        <v>30000</v>
      </c>
      <c r="D13" s="26" t="n">
        <f aca="false">D12*12</f>
        <v>0</v>
      </c>
      <c r="E13" s="26" t="n">
        <f aca="false">E12*12</f>
        <v>0</v>
      </c>
      <c r="F13" s="26" t="n">
        <f aca="false">F12*12</f>
        <v>0</v>
      </c>
    </row>
    <row r="14" customFormat="false" ht="15" hidden="false" customHeight="false" outlineLevel="0" collapsed="false">
      <c r="A14" s="11" t="s">
        <v>337</v>
      </c>
      <c r="C14" s="19" t="n">
        <v>0</v>
      </c>
      <c r="D14" s="19" t="n">
        <v>0</v>
      </c>
      <c r="E14" s="19" t="n">
        <v>0</v>
      </c>
      <c r="F14" s="19" t="n">
        <v>0</v>
      </c>
      <c r="H14" s="13" t="s">
        <v>338</v>
      </c>
    </row>
    <row r="16" customFormat="false" ht="15" hidden="false" customHeight="false" outlineLevel="0" collapsed="false">
      <c r="A16" s="4" t="s">
        <v>339</v>
      </c>
      <c r="B16" s="5"/>
      <c r="C16" s="5"/>
      <c r="D16" s="5"/>
      <c r="E16" s="5"/>
      <c r="F16" s="5"/>
      <c r="G16" s="5"/>
      <c r="H16" s="5"/>
    </row>
    <row r="17" customFormat="false" ht="15" hidden="false" customHeight="false" outlineLevel="0" collapsed="false">
      <c r="A17" s="11" t="s">
        <v>340</v>
      </c>
      <c r="C17" s="17" t="n">
        <v>0</v>
      </c>
      <c r="D17" s="17" t="n">
        <v>0</v>
      </c>
      <c r="E17" s="17" t="n">
        <v>0</v>
      </c>
      <c r="F17" s="17" t="n">
        <v>0</v>
      </c>
    </row>
    <row r="18" customFormat="false" ht="15" hidden="false" customHeight="false" outlineLevel="0" collapsed="false">
      <c r="A18" s="11" t="s">
        <v>281</v>
      </c>
      <c r="C18" s="15" t="n">
        <v>0.35</v>
      </c>
      <c r="D18" s="15" t="n">
        <v>0</v>
      </c>
      <c r="E18" s="15" t="n">
        <v>0</v>
      </c>
      <c r="F18" s="15" t="n">
        <v>0</v>
      </c>
    </row>
    <row r="19" customFormat="false" ht="15" hidden="false" customHeight="false" outlineLevel="0" collapsed="false">
      <c r="A19" s="11" t="s">
        <v>282</v>
      </c>
      <c r="C19" s="26" t="n">
        <f aca="false">C17*C18</f>
        <v>0</v>
      </c>
      <c r="D19" s="26" t="n">
        <f aca="false">D17*D18</f>
        <v>0</v>
      </c>
      <c r="E19" s="26" t="n">
        <f aca="false">E17*E18</f>
        <v>0</v>
      </c>
      <c r="F19" s="26" t="n">
        <f aca="false">F17*F18</f>
        <v>0</v>
      </c>
    </row>
    <row r="20" customFormat="false" ht="15" hidden="false" customHeight="false" outlineLevel="0" collapsed="false">
      <c r="A20" s="11" t="s">
        <v>341</v>
      </c>
      <c r="C20" s="17" t="n">
        <v>48000</v>
      </c>
      <c r="D20" s="17" t="n">
        <v>0</v>
      </c>
      <c r="E20" s="17" t="n">
        <v>0</v>
      </c>
      <c r="F20" s="17" t="n">
        <v>0</v>
      </c>
    </row>
    <row r="21" customFormat="false" ht="15" hidden="false" customHeight="false" outlineLevel="0" collapsed="false">
      <c r="A21" s="6" t="s">
        <v>210</v>
      </c>
      <c r="C21" s="27" t="n">
        <f aca="false">C19+C20</f>
        <v>48000</v>
      </c>
      <c r="D21" s="27" t="n">
        <f aca="false">D19+D20</f>
        <v>0</v>
      </c>
      <c r="E21" s="27" t="n">
        <f aca="false">E19+E20</f>
        <v>0</v>
      </c>
      <c r="F21" s="27" t="n">
        <f aca="false">F19+F20</f>
        <v>0</v>
      </c>
    </row>
    <row r="22" customFormat="false" ht="15" hidden="false" customHeight="false" outlineLevel="0" collapsed="false">
      <c r="A22" s="11" t="s">
        <v>342</v>
      </c>
      <c r="C22" s="19" t="n">
        <v>9</v>
      </c>
      <c r="D22" s="19" t="n">
        <v>1</v>
      </c>
      <c r="E22" s="19" t="n">
        <v>1</v>
      </c>
      <c r="F22" s="19" t="n">
        <v>1</v>
      </c>
    </row>
    <row r="24" customFormat="false" ht="15" hidden="false" customHeight="false" outlineLevel="0" collapsed="false">
      <c r="A24" s="4" t="s">
        <v>343</v>
      </c>
      <c r="B24" s="5"/>
      <c r="C24" s="5"/>
      <c r="D24" s="5"/>
      <c r="E24" s="5"/>
      <c r="F24" s="5"/>
      <c r="G24" s="5"/>
      <c r="H24" s="5"/>
    </row>
    <row r="25" customFormat="false" ht="15" hidden="false" customHeight="false" outlineLevel="0" collapsed="false">
      <c r="A25" s="6" t="s">
        <v>344</v>
      </c>
      <c r="C25" s="27" t="n">
        <f aca="false">C21*Assumptions!$B$61-C13*Assumptions!$B$62</f>
        <v>18000</v>
      </c>
      <c r="D25" s="27" t="n">
        <f aca="false">D21*Assumptions!$B$61-D13*Assumptions!$B$62</f>
        <v>0</v>
      </c>
      <c r="E25" s="27" t="n">
        <f aca="false">E21*Assumptions!$B$61-E13*Assumptions!$B$62</f>
        <v>0</v>
      </c>
      <c r="F25" s="27" t="n">
        <f aca="false">F21*Assumptions!$B$61-F13*Assumptions!$B$62</f>
        <v>0</v>
      </c>
    </row>
    <row r="26" customFormat="false" ht="15" hidden="false" customHeight="false" outlineLevel="0" collapsed="false">
      <c r="A26" s="11" t="s">
        <v>316</v>
      </c>
      <c r="C26" s="26" t="n">
        <f aca="false">IFERROR(C13/C18,"n/a")</f>
        <v>85714.2857142857</v>
      </c>
      <c r="D26" s="26" t="str">
        <f aca="false">IFERROR(D13/D18,"n/a")</f>
        <v>n/a</v>
      </c>
      <c r="E26" s="26" t="str">
        <f aca="false">IFERROR(E13/E18,"n/a")</f>
        <v>n/a</v>
      </c>
      <c r="F26" s="26" t="str">
        <f aca="false">IFERROR(F13/F18,"n/a")</f>
        <v>n/a</v>
      </c>
    </row>
    <row r="27" customFormat="false" ht="15" hidden="false" customHeight="false" outlineLevel="0" collapsed="false">
      <c r="A27" s="6" t="s">
        <v>345</v>
      </c>
      <c r="C27" s="27" t="n">
        <f aca="false">SUM('Initiative Cash Flows'!$C$86:$Z$86)</f>
        <v>0</v>
      </c>
      <c r="D27" s="27" t="n">
        <f aca="false">SUM('Initiative Cash Flows'!$C$90:$Z$90)</f>
        <v>0</v>
      </c>
      <c r="E27" s="27" t="n">
        <f aca="false">SUM('Initiative Cash Flows'!$C$94:$Z$94)</f>
        <v>0</v>
      </c>
      <c r="F27" s="27" t="n">
        <f aca="false">SUM('Initiative Cash Flows'!$C$98:$Z$98)</f>
        <v>0</v>
      </c>
    </row>
    <row r="29" customFormat="false" ht="15" hidden="false" customHeight="false" outlineLevel="0" collapsed="false">
      <c r="A29" s="4" t="s">
        <v>226</v>
      </c>
      <c r="B29" s="5"/>
      <c r="C29" s="5"/>
      <c r="D29" s="5"/>
      <c r="E29" s="5"/>
      <c r="F29" s="5"/>
      <c r="G29" s="5"/>
      <c r="H29" s="5"/>
    </row>
    <row r="30" customFormat="false" ht="15" hidden="false" customHeight="false" outlineLevel="0" collapsed="false">
      <c r="A30" s="11" t="s">
        <v>346</v>
      </c>
      <c r="C30" s="20" t="n">
        <v>5</v>
      </c>
      <c r="D30" s="20" t="n">
        <v>0</v>
      </c>
      <c r="E30" s="20" t="n">
        <v>0</v>
      </c>
      <c r="F30" s="20" t="n">
        <v>0</v>
      </c>
    </row>
    <row r="31" customFormat="false" ht="15" hidden="false" customHeight="false" outlineLevel="0" collapsed="false">
      <c r="A31" s="11" t="s">
        <v>347</v>
      </c>
      <c r="C31" s="31" t="n">
        <f aca="false">MAX(0,C30-(24-C8+1)/12)</f>
        <v>3</v>
      </c>
      <c r="D31" s="31" t="n">
        <f aca="false">MAX(0,D30-(24-D8+1)/12)</f>
        <v>0</v>
      </c>
      <c r="E31" s="31" t="n">
        <f aca="false">MAX(0,E30-(24-E8+1)/12)</f>
        <v>0</v>
      </c>
      <c r="F31" s="31" t="n">
        <f aca="false">MAX(0,F30-(24-F8+1)/12)</f>
        <v>0</v>
      </c>
    </row>
    <row r="32" customFormat="false" ht="15" hidden="false" customHeight="false" outlineLevel="0" collapsed="false">
      <c r="A32" s="11" t="s">
        <v>228</v>
      </c>
      <c r="C32" s="26" t="n">
        <f aca="false">IF(C31&lt;=0,0,PV(Assumptions!$B$8,C31,-(C25*(1-Assumptions!$B$10))))</f>
        <v>30823.5390811211</v>
      </c>
      <c r="D32" s="26" t="n">
        <f aca="false">IF(D31&lt;=0,0,PV(Assumptions!$B$8,D31,-(D25*(1-Assumptions!$B$10))))</f>
        <v>0</v>
      </c>
      <c r="E32" s="26" t="n">
        <f aca="false">IF(E31&lt;=0,0,PV(Assumptions!$B$8,E31,-(E25*(1-Assumptions!$B$10))))</f>
        <v>0</v>
      </c>
      <c r="F32" s="26" t="n">
        <f aca="false">IF(F31&lt;=0,0,PV(Assumptions!$B$8,F31,-(F25*(1-Assumptions!$B$10))))</f>
        <v>0</v>
      </c>
    </row>
    <row r="33" customFormat="false" ht="15" hidden="false" customHeight="false" outlineLevel="0" collapsed="false">
      <c r="A33" s="11" t="s">
        <v>230</v>
      </c>
      <c r="C33" s="25" t="s">
        <v>161</v>
      </c>
      <c r="D33" s="25" t="s">
        <v>161</v>
      </c>
      <c r="E33" s="25" t="s">
        <v>161</v>
      </c>
      <c r="F33" s="25" t="s">
        <v>161</v>
      </c>
    </row>
  </sheetData>
  <dataValidations count="2">
    <dataValidation allowBlank="false" errorStyle="stop" operator="between" showDropDown="false" showErrorMessage="false" showInputMessage="false" sqref="C7:F7" type="list">
      <formula1>"Yes,No"</formula1>
      <formula2>0</formula2>
    </dataValidation>
    <dataValidation allowBlank="false" errorStyle="stop" operator="between" showDropDown="false" showErrorMessage="false" showInputMessage="false" sqref="C33:F3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
    <col collapsed="false" customWidth="true" hidden="false" outlineLevel="0" max="26" min="3" style="0" width="12"/>
  </cols>
  <sheetData>
    <row r="1" customFormat="false" ht="17.35" hidden="false" customHeight="false" outlineLevel="0" collapsed="false">
      <c r="A1" s="10" t="s">
        <v>348</v>
      </c>
    </row>
    <row r="2" customFormat="false" ht="15" hidden="false" customHeight="false" outlineLevel="0" collapsed="false">
      <c r="A2" s="3" t="s">
        <v>349</v>
      </c>
    </row>
    <row r="3" customFormat="false" ht="15" hidden="false" customHeight="false" outlineLevel="0" collapsed="false">
      <c r="A3" s="6" t="s">
        <v>350</v>
      </c>
      <c r="C3" s="33" t="n">
        <v>1</v>
      </c>
      <c r="D3" s="33" t="n">
        <v>2</v>
      </c>
      <c r="E3" s="33" t="n">
        <v>3</v>
      </c>
      <c r="F3" s="33" t="n">
        <v>4</v>
      </c>
      <c r="G3" s="33" t="n">
        <v>5</v>
      </c>
      <c r="H3" s="33" t="n">
        <v>6</v>
      </c>
      <c r="I3" s="33" t="n">
        <v>7</v>
      </c>
      <c r="J3" s="33" t="n">
        <v>8</v>
      </c>
      <c r="K3" s="33" t="n">
        <v>9</v>
      </c>
      <c r="L3" s="33" t="n">
        <v>10</v>
      </c>
      <c r="M3" s="33" t="n">
        <v>11</v>
      </c>
      <c r="N3" s="33" t="n">
        <v>12</v>
      </c>
      <c r="O3" s="33" t="n">
        <v>13</v>
      </c>
      <c r="P3" s="33" t="n">
        <v>14</v>
      </c>
      <c r="Q3" s="33" t="n">
        <v>15</v>
      </c>
      <c r="R3" s="33" t="n">
        <v>16</v>
      </c>
      <c r="S3" s="33" t="n">
        <v>17</v>
      </c>
      <c r="T3" s="33" t="n">
        <v>18</v>
      </c>
      <c r="U3" s="33" t="n">
        <v>19</v>
      </c>
      <c r="V3" s="33" t="n">
        <v>20</v>
      </c>
      <c r="W3" s="33" t="n">
        <v>21</v>
      </c>
      <c r="X3" s="33" t="n">
        <v>22</v>
      </c>
      <c r="Y3" s="33" t="n">
        <v>23</v>
      </c>
      <c r="Z3" s="33" t="n">
        <v>24</v>
      </c>
    </row>
    <row r="4" customFormat="false" ht="15" hidden="false" customHeight="false" outlineLevel="0" collapsed="false">
      <c r="A4" s="6" t="s">
        <v>351</v>
      </c>
      <c r="C4" s="34" t="n">
        <f aca="false">EOMONTH(Assumptions!$B$6,C3-1)</f>
        <v>46326</v>
      </c>
      <c r="D4" s="34" t="n">
        <f aca="false">EOMONTH(Assumptions!$B$6,D3-1)</f>
        <v>46356</v>
      </c>
      <c r="E4" s="34" t="n">
        <f aca="false">EOMONTH(Assumptions!$B$6,E3-1)</f>
        <v>46387</v>
      </c>
      <c r="F4" s="34" t="n">
        <f aca="false">EOMONTH(Assumptions!$B$6,F3-1)</f>
        <v>46418</v>
      </c>
      <c r="G4" s="34" t="n">
        <f aca="false">EOMONTH(Assumptions!$B$6,G3-1)</f>
        <v>46446</v>
      </c>
      <c r="H4" s="34" t="n">
        <f aca="false">EOMONTH(Assumptions!$B$6,H3-1)</f>
        <v>46477</v>
      </c>
      <c r="I4" s="34" t="n">
        <f aca="false">EOMONTH(Assumptions!$B$6,I3-1)</f>
        <v>46507</v>
      </c>
      <c r="J4" s="34" t="n">
        <f aca="false">EOMONTH(Assumptions!$B$6,J3-1)</f>
        <v>46538</v>
      </c>
      <c r="K4" s="34" t="n">
        <f aca="false">EOMONTH(Assumptions!$B$6,K3-1)</f>
        <v>46568</v>
      </c>
      <c r="L4" s="34" t="n">
        <f aca="false">EOMONTH(Assumptions!$B$6,L3-1)</f>
        <v>46599</v>
      </c>
      <c r="M4" s="34" t="n">
        <f aca="false">EOMONTH(Assumptions!$B$6,M3-1)</f>
        <v>46630</v>
      </c>
      <c r="N4" s="34" t="n">
        <f aca="false">EOMONTH(Assumptions!$B$6,N3-1)</f>
        <v>46660</v>
      </c>
      <c r="O4" s="34" t="n">
        <f aca="false">EOMONTH(Assumptions!$B$6,O3-1)</f>
        <v>46691</v>
      </c>
      <c r="P4" s="34" t="n">
        <f aca="false">EOMONTH(Assumptions!$B$6,P3-1)</f>
        <v>46721</v>
      </c>
      <c r="Q4" s="34" t="n">
        <f aca="false">EOMONTH(Assumptions!$B$6,Q3-1)</f>
        <v>46752</v>
      </c>
      <c r="R4" s="34" t="n">
        <f aca="false">EOMONTH(Assumptions!$B$6,R3-1)</f>
        <v>46783</v>
      </c>
      <c r="S4" s="34" t="n">
        <f aca="false">EOMONTH(Assumptions!$B$6,S3-1)</f>
        <v>46812</v>
      </c>
      <c r="T4" s="34" t="n">
        <f aca="false">EOMONTH(Assumptions!$B$6,T3-1)</f>
        <v>46843</v>
      </c>
      <c r="U4" s="34" t="n">
        <f aca="false">EOMONTH(Assumptions!$B$6,U3-1)</f>
        <v>46873</v>
      </c>
      <c r="V4" s="34" t="n">
        <f aca="false">EOMONTH(Assumptions!$B$6,V3-1)</f>
        <v>46904</v>
      </c>
      <c r="W4" s="34" t="n">
        <f aca="false">EOMONTH(Assumptions!$B$6,W3-1)</f>
        <v>46934</v>
      </c>
      <c r="X4" s="34" t="n">
        <f aca="false">EOMONTH(Assumptions!$B$6,X3-1)</f>
        <v>46965</v>
      </c>
      <c r="Y4" s="34" t="n">
        <f aca="false">EOMONTH(Assumptions!$B$6,Y3-1)</f>
        <v>46996</v>
      </c>
      <c r="Z4" s="34" t="n">
        <f aca="false">EOMONTH(Assumptions!$B$6,Z3-1)</f>
        <v>47026</v>
      </c>
    </row>
    <row r="6" customFormat="false" ht="15" hidden="false" customHeight="false" outlineLevel="0" collapsed="false">
      <c r="A6" s="4" t="s">
        <v>352</v>
      </c>
      <c r="B6" s="5"/>
      <c r="C6" s="5"/>
      <c r="D6" s="5"/>
      <c r="E6" s="5"/>
      <c r="F6" s="5"/>
      <c r="G6" s="5"/>
      <c r="H6" s="5"/>
      <c r="I6" s="5"/>
      <c r="J6" s="5"/>
      <c r="K6" s="5"/>
      <c r="L6" s="5"/>
      <c r="M6" s="5"/>
      <c r="N6" s="5"/>
      <c r="O6" s="5"/>
      <c r="P6" s="5"/>
      <c r="Q6" s="5"/>
      <c r="R6" s="5"/>
      <c r="S6" s="5"/>
      <c r="T6" s="5"/>
      <c r="U6" s="5"/>
      <c r="V6" s="5"/>
      <c r="W6" s="5"/>
      <c r="X6" s="5"/>
      <c r="Y6" s="5"/>
      <c r="Z6" s="5"/>
    </row>
    <row r="7" customFormat="false" ht="15" hidden="false" customHeight="false" outlineLevel="0" collapsed="false">
      <c r="A7" s="11" t="s">
        <v>353</v>
      </c>
      <c r="C7" s="35" t="n">
        <f aca="false">IF(AND('Hire Analysis'!$C$7="Yes",C$3&gt;='Hire Analysis'!$C$8),'Hire Analysis'!$C$31*Assumptions!$B$62,0)</f>
        <v>0</v>
      </c>
      <c r="D7" s="35" t="n">
        <f aca="false">IF(AND('Hire Analysis'!$C$7="Yes",D$3&gt;='Hire Analysis'!$C$8),'Hire Analysis'!$C$31*Assumptions!$B$62,0)</f>
        <v>10042.4375</v>
      </c>
      <c r="E7" s="35" t="n">
        <f aca="false">IF(AND('Hire Analysis'!$C$7="Yes",E$3&gt;='Hire Analysis'!$C$8),'Hire Analysis'!$C$31*Assumptions!$B$62,0)</f>
        <v>10042.4375</v>
      </c>
      <c r="F7" s="35" t="n">
        <f aca="false">IF(AND('Hire Analysis'!$C$7="Yes",F$3&gt;='Hire Analysis'!$C$8),'Hire Analysis'!$C$31*Assumptions!$B$62,0)</f>
        <v>10042.4375</v>
      </c>
      <c r="G7" s="35" t="n">
        <f aca="false">IF(AND('Hire Analysis'!$C$7="Yes",G$3&gt;='Hire Analysis'!$C$8),'Hire Analysis'!$C$31*Assumptions!$B$62,0)</f>
        <v>10042.4375</v>
      </c>
      <c r="H7" s="35" t="n">
        <f aca="false">IF(AND('Hire Analysis'!$C$7="Yes",H$3&gt;='Hire Analysis'!$C$8),'Hire Analysis'!$C$31*Assumptions!$B$62,0)</f>
        <v>10042.4375</v>
      </c>
      <c r="I7" s="35" t="n">
        <f aca="false">IF(AND('Hire Analysis'!$C$7="Yes",I$3&gt;='Hire Analysis'!$C$8),'Hire Analysis'!$C$31*Assumptions!$B$62,0)</f>
        <v>10042.4375</v>
      </c>
      <c r="J7" s="35" t="n">
        <f aca="false">IF(AND('Hire Analysis'!$C$7="Yes",J$3&gt;='Hire Analysis'!$C$8),'Hire Analysis'!$C$31*Assumptions!$B$62,0)</f>
        <v>10042.4375</v>
      </c>
      <c r="K7" s="35" t="n">
        <f aca="false">IF(AND('Hire Analysis'!$C$7="Yes",K$3&gt;='Hire Analysis'!$C$8),'Hire Analysis'!$C$31*Assumptions!$B$62,0)</f>
        <v>10042.4375</v>
      </c>
      <c r="L7" s="35" t="n">
        <f aca="false">IF(AND('Hire Analysis'!$C$7="Yes",L$3&gt;='Hire Analysis'!$C$8),'Hire Analysis'!$C$31*Assumptions!$B$62,0)</f>
        <v>10042.4375</v>
      </c>
      <c r="M7" s="35" t="n">
        <f aca="false">IF(AND('Hire Analysis'!$C$7="Yes",M$3&gt;='Hire Analysis'!$C$8),'Hire Analysis'!$C$31*Assumptions!$B$62,0)</f>
        <v>10042.4375</v>
      </c>
      <c r="N7" s="35" t="n">
        <f aca="false">IF(AND('Hire Analysis'!$C$7="Yes",N$3&gt;='Hire Analysis'!$C$8),'Hire Analysis'!$C$31*Assumptions!$B$62,0)</f>
        <v>10042.4375</v>
      </c>
      <c r="O7" s="35" t="n">
        <f aca="false">IF(AND('Hire Analysis'!$C$7="Yes",O$3&gt;='Hire Analysis'!$C$8),'Hire Analysis'!$C$31*Assumptions!$B$62,0)</f>
        <v>10042.4375</v>
      </c>
      <c r="P7" s="35" t="n">
        <f aca="false">IF(AND('Hire Analysis'!$C$7="Yes",P$3&gt;='Hire Analysis'!$C$8),'Hire Analysis'!$C$31*Assumptions!$B$62,0)</f>
        <v>10042.4375</v>
      </c>
      <c r="Q7" s="35" t="n">
        <f aca="false">IF(AND('Hire Analysis'!$C$7="Yes",Q$3&gt;='Hire Analysis'!$C$8),'Hire Analysis'!$C$31*Assumptions!$B$62,0)</f>
        <v>10042.4375</v>
      </c>
      <c r="R7" s="35" t="n">
        <f aca="false">IF(AND('Hire Analysis'!$C$7="Yes",R$3&gt;='Hire Analysis'!$C$8),'Hire Analysis'!$C$31*Assumptions!$B$62,0)</f>
        <v>10042.4375</v>
      </c>
      <c r="S7" s="35" t="n">
        <f aca="false">IF(AND('Hire Analysis'!$C$7="Yes",S$3&gt;='Hire Analysis'!$C$8),'Hire Analysis'!$C$31*Assumptions!$B$62,0)</f>
        <v>10042.4375</v>
      </c>
      <c r="T7" s="35" t="n">
        <f aca="false">IF(AND('Hire Analysis'!$C$7="Yes",T$3&gt;='Hire Analysis'!$C$8),'Hire Analysis'!$C$31*Assumptions!$B$62,0)</f>
        <v>10042.4375</v>
      </c>
      <c r="U7" s="35" t="n">
        <f aca="false">IF(AND('Hire Analysis'!$C$7="Yes",U$3&gt;='Hire Analysis'!$C$8),'Hire Analysis'!$C$31*Assumptions!$B$62,0)</f>
        <v>10042.4375</v>
      </c>
      <c r="V7" s="35" t="n">
        <f aca="false">IF(AND('Hire Analysis'!$C$7="Yes",V$3&gt;='Hire Analysis'!$C$8),'Hire Analysis'!$C$31*Assumptions!$B$62,0)</f>
        <v>10042.4375</v>
      </c>
      <c r="W7" s="35" t="n">
        <f aca="false">IF(AND('Hire Analysis'!$C$7="Yes",W$3&gt;='Hire Analysis'!$C$8),'Hire Analysis'!$C$31*Assumptions!$B$62,0)</f>
        <v>10042.4375</v>
      </c>
      <c r="X7" s="35" t="n">
        <f aca="false">IF(AND('Hire Analysis'!$C$7="Yes",X$3&gt;='Hire Analysis'!$C$8),'Hire Analysis'!$C$31*Assumptions!$B$62,0)</f>
        <v>10042.4375</v>
      </c>
      <c r="Y7" s="35" t="n">
        <f aca="false">IF(AND('Hire Analysis'!$C$7="Yes",Y$3&gt;='Hire Analysis'!$C$8),'Hire Analysis'!$C$31*Assumptions!$B$62,0)</f>
        <v>10042.4375</v>
      </c>
      <c r="Z7" s="35" t="n">
        <f aca="false">IF(AND('Hire Analysis'!$C$7="Yes",Z$3&gt;='Hire Analysis'!$C$8),'Hire Analysis'!$C$31*Assumptions!$B$62,0)</f>
        <v>10042.4375</v>
      </c>
    </row>
    <row r="8" customFormat="false" ht="15" hidden="false" customHeight="false" outlineLevel="0" collapsed="false">
      <c r="A8" s="11" t="s">
        <v>354</v>
      </c>
      <c r="C8" s="35" t="n">
        <f aca="false">IF(AND('Hire Analysis'!$C$7="Yes",C$3='Hire Analysis'!$C$8),'Hire Analysis'!$C$39*Assumptions!$B$62,0)</f>
        <v>0</v>
      </c>
      <c r="D8" s="35" t="n">
        <f aca="false">IF(AND('Hire Analysis'!$C$7="Yes",D$3='Hire Analysis'!$C$8),'Hire Analysis'!$C$39*Assumptions!$B$62,0)</f>
        <v>22500</v>
      </c>
      <c r="E8" s="35" t="n">
        <f aca="false">IF(AND('Hire Analysis'!$C$7="Yes",E$3='Hire Analysis'!$C$8),'Hire Analysis'!$C$39*Assumptions!$B$62,0)</f>
        <v>0</v>
      </c>
      <c r="F8" s="35" t="n">
        <f aca="false">IF(AND('Hire Analysis'!$C$7="Yes",F$3='Hire Analysis'!$C$8),'Hire Analysis'!$C$39*Assumptions!$B$62,0)</f>
        <v>0</v>
      </c>
      <c r="G8" s="35" t="n">
        <f aca="false">IF(AND('Hire Analysis'!$C$7="Yes",G$3='Hire Analysis'!$C$8),'Hire Analysis'!$C$39*Assumptions!$B$62,0)</f>
        <v>0</v>
      </c>
      <c r="H8" s="35" t="n">
        <f aca="false">IF(AND('Hire Analysis'!$C$7="Yes",H$3='Hire Analysis'!$C$8),'Hire Analysis'!$C$39*Assumptions!$B$62,0)</f>
        <v>0</v>
      </c>
      <c r="I8" s="35" t="n">
        <f aca="false">IF(AND('Hire Analysis'!$C$7="Yes",I$3='Hire Analysis'!$C$8),'Hire Analysis'!$C$39*Assumptions!$B$62,0)</f>
        <v>0</v>
      </c>
      <c r="J8" s="35" t="n">
        <f aca="false">IF(AND('Hire Analysis'!$C$7="Yes",J$3='Hire Analysis'!$C$8),'Hire Analysis'!$C$39*Assumptions!$B$62,0)</f>
        <v>0</v>
      </c>
      <c r="K8" s="35" t="n">
        <f aca="false">IF(AND('Hire Analysis'!$C$7="Yes",K$3='Hire Analysis'!$C$8),'Hire Analysis'!$C$39*Assumptions!$B$62,0)</f>
        <v>0</v>
      </c>
      <c r="L8" s="35" t="n">
        <f aca="false">IF(AND('Hire Analysis'!$C$7="Yes",L$3='Hire Analysis'!$C$8),'Hire Analysis'!$C$39*Assumptions!$B$62,0)</f>
        <v>0</v>
      </c>
      <c r="M8" s="35" t="n">
        <f aca="false">IF(AND('Hire Analysis'!$C$7="Yes",M$3='Hire Analysis'!$C$8),'Hire Analysis'!$C$39*Assumptions!$B$62,0)</f>
        <v>0</v>
      </c>
      <c r="N8" s="35" t="n">
        <f aca="false">IF(AND('Hire Analysis'!$C$7="Yes",N$3='Hire Analysis'!$C$8),'Hire Analysis'!$C$39*Assumptions!$B$62,0)</f>
        <v>0</v>
      </c>
      <c r="O8" s="35" t="n">
        <f aca="false">IF(AND('Hire Analysis'!$C$7="Yes",O$3='Hire Analysis'!$C$8),'Hire Analysis'!$C$39*Assumptions!$B$62,0)</f>
        <v>0</v>
      </c>
      <c r="P8" s="35" t="n">
        <f aca="false">IF(AND('Hire Analysis'!$C$7="Yes",P$3='Hire Analysis'!$C$8),'Hire Analysis'!$C$39*Assumptions!$B$62,0)</f>
        <v>0</v>
      </c>
      <c r="Q8" s="35" t="n">
        <f aca="false">IF(AND('Hire Analysis'!$C$7="Yes",Q$3='Hire Analysis'!$C$8),'Hire Analysis'!$C$39*Assumptions!$B$62,0)</f>
        <v>0</v>
      </c>
      <c r="R8" s="35" t="n">
        <f aca="false">IF(AND('Hire Analysis'!$C$7="Yes",R$3='Hire Analysis'!$C$8),'Hire Analysis'!$C$39*Assumptions!$B$62,0)</f>
        <v>0</v>
      </c>
      <c r="S8" s="35" t="n">
        <f aca="false">IF(AND('Hire Analysis'!$C$7="Yes",S$3='Hire Analysis'!$C$8),'Hire Analysis'!$C$39*Assumptions!$B$62,0)</f>
        <v>0</v>
      </c>
      <c r="T8" s="35" t="n">
        <f aca="false">IF(AND('Hire Analysis'!$C$7="Yes",T$3='Hire Analysis'!$C$8),'Hire Analysis'!$C$39*Assumptions!$B$62,0)</f>
        <v>0</v>
      </c>
      <c r="U8" s="35" t="n">
        <f aca="false">IF(AND('Hire Analysis'!$C$7="Yes",U$3='Hire Analysis'!$C$8),'Hire Analysis'!$C$39*Assumptions!$B$62,0)</f>
        <v>0</v>
      </c>
      <c r="V8" s="35" t="n">
        <f aca="false">IF(AND('Hire Analysis'!$C$7="Yes",V$3='Hire Analysis'!$C$8),'Hire Analysis'!$C$39*Assumptions!$B$62,0)</f>
        <v>0</v>
      </c>
      <c r="W8" s="35" t="n">
        <f aca="false">IF(AND('Hire Analysis'!$C$7="Yes",W$3='Hire Analysis'!$C$8),'Hire Analysis'!$C$39*Assumptions!$B$62,0)</f>
        <v>0</v>
      </c>
      <c r="X8" s="35" t="n">
        <f aca="false">IF(AND('Hire Analysis'!$C$7="Yes",X$3='Hire Analysis'!$C$8),'Hire Analysis'!$C$39*Assumptions!$B$62,0)</f>
        <v>0</v>
      </c>
      <c r="Y8" s="35" t="n">
        <f aca="false">IF(AND('Hire Analysis'!$C$7="Yes",Y$3='Hire Analysis'!$C$8),'Hire Analysis'!$C$39*Assumptions!$B$62,0)</f>
        <v>0</v>
      </c>
      <c r="Z8" s="35" t="n">
        <f aca="false">IF(AND('Hire Analysis'!$C$7="Yes",Z$3='Hire Analysis'!$C$8),'Hire Analysis'!$C$39*Assumptions!$B$62,0)</f>
        <v>0</v>
      </c>
    </row>
    <row r="9" customFormat="false" ht="15" hidden="false" customHeight="false" outlineLevel="0" collapsed="false">
      <c r="A9" s="11" t="s">
        <v>355</v>
      </c>
      <c r="C9" s="35" t="n">
        <f aca="false">IF(AND('Hire Analysis'!$C$7="Yes",C$3&gt;='Hire Analysis'!$C$8),'Hire Analysis'!$C$49/12*MIN(1,(C$3-'Hire Analysis'!$C$8+1)/MAX(1,'Hire Analysis'!$C$50))*Assumptions!$B$61,0)</f>
        <v>0</v>
      </c>
      <c r="D9" s="35" t="n">
        <f aca="false">IF(AND('Hire Analysis'!$C$7="Yes",D$3&gt;='Hire Analysis'!$C$8),'Hire Analysis'!$C$49/12*MIN(1,(D$3-'Hire Analysis'!$C$8+1)/MAX(1,'Hire Analysis'!$C$50))*Assumptions!$B$61,0)</f>
        <v>2630.55555555556</v>
      </c>
      <c r="E9" s="35" t="n">
        <f aca="false">IF(AND('Hire Analysis'!$C$7="Yes",E$3&gt;='Hire Analysis'!$C$8),'Hire Analysis'!$C$49/12*MIN(1,(E$3-'Hire Analysis'!$C$8+1)/MAX(1,'Hire Analysis'!$C$50))*Assumptions!$B$61,0)</f>
        <v>5261.11111111111</v>
      </c>
      <c r="F9" s="35" t="n">
        <f aca="false">IF(AND('Hire Analysis'!$C$7="Yes",F$3&gt;='Hire Analysis'!$C$8),'Hire Analysis'!$C$49/12*MIN(1,(F$3-'Hire Analysis'!$C$8+1)/MAX(1,'Hire Analysis'!$C$50))*Assumptions!$B$61,0)</f>
        <v>7891.66666666667</v>
      </c>
      <c r="G9" s="35" t="n">
        <f aca="false">IF(AND('Hire Analysis'!$C$7="Yes",G$3&gt;='Hire Analysis'!$C$8),'Hire Analysis'!$C$49/12*MIN(1,(G$3-'Hire Analysis'!$C$8+1)/MAX(1,'Hire Analysis'!$C$50))*Assumptions!$B$61,0)</f>
        <v>10522.2222222222</v>
      </c>
      <c r="H9" s="35" t="n">
        <f aca="false">IF(AND('Hire Analysis'!$C$7="Yes",H$3&gt;='Hire Analysis'!$C$8),'Hire Analysis'!$C$49/12*MIN(1,(H$3-'Hire Analysis'!$C$8+1)/MAX(1,'Hire Analysis'!$C$50))*Assumptions!$B$61,0)</f>
        <v>13152.7777777778</v>
      </c>
      <c r="I9" s="35" t="n">
        <f aca="false">IF(AND('Hire Analysis'!$C$7="Yes",I$3&gt;='Hire Analysis'!$C$8),'Hire Analysis'!$C$49/12*MIN(1,(I$3-'Hire Analysis'!$C$8+1)/MAX(1,'Hire Analysis'!$C$50))*Assumptions!$B$61,0)</f>
        <v>15783.3333333333</v>
      </c>
      <c r="J9" s="35" t="n">
        <f aca="false">IF(AND('Hire Analysis'!$C$7="Yes",J$3&gt;='Hire Analysis'!$C$8),'Hire Analysis'!$C$49/12*MIN(1,(J$3-'Hire Analysis'!$C$8+1)/MAX(1,'Hire Analysis'!$C$50))*Assumptions!$B$61,0)</f>
        <v>15783.3333333333</v>
      </c>
      <c r="K9" s="35" t="n">
        <f aca="false">IF(AND('Hire Analysis'!$C$7="Yes",K$3&gt;='Hire Analysis'!$C$8),'Hire Analysis'!$C$49/12*MIN(1,(K$3-'Hire Analysis'!$C$8+1)/MAX(1,'Hire Analysis'!$C$50))*Assumptions!$B$61,0)</f>
        <v>15783.3333333333</v>
      </c>
      <c r="L9" s="35" t="n">
        <f aca="false">IF(AND('Hire Analysis'!$C$7="Yes",L$3&gt;='Hire Analysis'!$C$8),'Hire Analysis'!$C$49/12*MIN(1,(L$3-'Hire Analysis'!$C$8+1)/MAX(1,'Hire Analysis'!$C$50))*Assumptions!$B$61,0)</f>
        <v>15783.3333333333</v>
      </c>
      <c r="M9" s="35" t="n">
        <f aca="false">IF(AND('Hire Analysis'!$C$7="Yes",M$3&gt;='Hire Analysis'!$C$8),'Hire Analysis'!$C$49/12*MIN(1,(M$3-'Hire Analysis'!$C$8+1)/MAX(1,'Hire Analysis'!$C$50))*Assumptions!$B$61,0)</f>
        <v>15783.3333333333</v>
      </c>
      <c r="N9" s="35" t="n">
        <f aca="false">IF(AND('Hire Analysis'!$C$7="Yes",N$3&gt;='Hire Analysis'!$C$8),'Hire Analysis'!$C$49/12*MIN(1,(N$3-'Hire Analysis'!$C$8+1)/MAX(1,'Hire Analysis'!$C$50))*Assumptions!$B$61,0)</f>
        <v>15783.3333333333</v>
      </c>
      <c r="O9" s="35" t="n">
        <f aca="false">IF(AND('Hire Analysis'!$C$7="Yes",O$3&gt;='Hire Analysis'!$C$8),'Hire Analysis'!$C$49/12*MIN(1,(O$3-'Hire Analysis'!$C$8+1)/MAX(1,'Hire Analysis'!$C$50))*Assumptions!$B$61,0)</f>
        <v>15783.3333333333</v>
      </c>
      <c r="P9" s="35" t="n">
        <f aca="false">IF(AND('Hire Analysis'!$C$7="Yes",P$3&gt;='Hire Analysis'!$C$8),'Hire Analysis'!$C$49/12*MIN(1,(P$3-'Hire Analysis'!$C$8+1)/MAX(1,'Hire Analysis'!$C$50))*Assumptions!$B$61,0)</f>
        <v>15783.3333333333</v>
      </c>
      <c r="Q9" s="35" t="n">
        <f aca="false">IF(AND('Hire Analysis'!$C$7="Yes",Q$3&gt;='Hire Analysis'!$C$8),'Hire Analysis'!$C$49/12*MIN(1,(Q$3-'Hire Analysis'!$C$8+1)/MAX(1,'Hire Analysis'!$C$50))*Assumptions!$B$61,0)</f>
        <v>15783.3333333333</v>
      </c>
      <c r="R9" s="35" t="n">
        <f aca="false">IF(AND('Hire Analysis'!$C$7="Yes",R$3&gt;='Hire Analysis'!$C$8),'Hire Analysis'!$C$49/12*MIN(1,(R$3-'Hire Analysis'!$C$8+1)/MAX(1,'Hire Analysis'!$C$50))*Assumptions!$B$61,0)</f>
        <v>15783.3333333333</v>
      </c>
      <c r="S9" s="35" t="n">
        <f aca="false">IF(AND('Hire Analysis'!$C$7="Yes",S$3&gt;='Hire Analysis'!$C$8),'Hire Analysis'!$C$49/12*MIN(1,(S$3-'Hire Analysis'!$C$8+1)/MAX(1,'Hire Analysis'!$C$50))*Assumptions!$B$61,0)</f>
        <v>15783.3333333333</v>
      </c>
      <c r="T9" s="35" t="n">
        <f aca="false">IF(AND('Hire Analysis'!$C$7="Yes",T$3&gt;='Hire Analysis'!$C$8),'Hire Analysis'!$C$49/12*MIN(1,(T$3-'Hire Analysis'!$C$8+1)/MAX(1,'Hire Analysis'!$C$50))*Assumptions!$B$61,0)</f>
        <v>15783.3333333333</v>
      </c>
      <c r="U9" s="35" t="n">
        <f aca="false">IF(AND('Hire Analysis'!$C$7="Yes",U$3&gt;='Hire Analysis'!$C$8),'Hire Analysis'!$C$49/12*MIN(1,(U$3-'Hire Analysis'!$C$8+1)/MAX(1,'Hire Analysis'!$C$50))*Assumptions!$B$61,0)</f>
        <v>15783.3333333333</v>
      </c>
      <c r="V9" s="35" t="n">
        <f aca="false">IF(AND('Hire Analysis'!$C$7="Yes",V$3&gt;='Hire Analysis'!$C$8),'Hire Analysis'!$C$49/12*MIN(1,(V$3-'Hire Analysis'!$C$8+1)/MAX(1,'Hire Analysis'!$C$50))*Assumptions!$B$61,0)</f>
        <v>15783.3333333333</v>
      </c>
      <c r="W9" s="35" t="n">
        <f aca="false">IF(AND('Hire Analysis'!$C$7="Yes",W$3&gt;='Hire Analysis'!$C$8),'Hire Analysis'!$C$49/12*MIN(1,(W$3-'Hire Analysis'!$C$8+1)/MAX(1,'Hire Analysis'!$C$50))*Assumptions!$B$61,0)</f>
        <v>15783.3333333333</v>
      </c>
      <c r="X9" s="35" t="n">
        <f aca="false">IF(AND('Hire Analysis'!$C$7="Yes",X$3&gt;='Hire Analysis'!$C$8),'Hire Analysis'!$C$49/12*MIN(1,(X$3-'Hire Analysis'!$C$8+1)/MAX(1,'Hire Analysis'!$C$50))*Assumptions!$B$61,0)</f>
        <v>15783.3333333333</v>
      </c>
      <c r="Y9" s="35" t="n">
        <f aca="false">IF(AND('Hire Analysis'!$C$7="Yes",Y$3&gt;='Hire Analysis'!$C$8),'Hire Analysis'!$C$49/12*MIN(1,(Y$3-'Hire Analysis'!$C$8+1)/MAX(1,'Hire Analysis'!$C$50))*Assumptions!$B$61,0)</f>
        <v>15783.3333333333</v>
      </c>
      <c r="Z9" s="35" t="n">
        <f aca="false">IF(AND('Hire Analysis'!$C$7="Yes",Z$3&gt;='Hire Analysis'!$C$8),'Hire Analysis'!$C$49/12*MIN(1,(Z$3-'Hire Analysis'!$C$8+1)/MAX(1,'Hire Analysis'!$C$50))*Assumptions!$B$61,0)</f>
        <v>15783.3333333333</v>
      </c>
    </row>
    <row r="10" customFormat="false" ht="15" hidden="false" customHeight="false" outlineLevel="0" collapsed="false">
      <c r="A10" s="36" t="s">
        <v>356</v>
      </c>
      <c r="C10" s="37" t="n">
        <f aca="false">C9-C7-C8</f>
        <v>0</v>
      </c>
      <c r="D10" s="37" t="n">
        <f aca="false">D9-D7-D8</f>
        <v>-29911.8819444444</v>
      </c>
      <c r="E10" s="37" t="n">
        <f aca="false">E9-E7-E8</f>
        <v>-4781.32638888889</v>
      </c>
      <c r="F10" s="37" t="n">
        <f aca="false">F9-F7-F8</f>
        <v>-2150.77083333333</v>
      </c>
      <c r="G10" s="37" t="n">
        <f aca="false">G9-G7-G8</f>
        <v>479.784722222223</v>
      </c>
      <c r="H10" s="37" t="n">
        <f aca="false">H9-H7-H8</f>
        <v>3110.34027777778</v>
      </c>
      <c r="I10" s="37" t="n">
        <f aca="false">I9-I7-I8</f>
        <v>5740.89583333333</v>
      </c>
      <c r="J10" s="37" t="n">
        <f aca="false">J9-J7-J8</f>
        <v>5740.89583333333</v>
      </c>
      <c r="K10" s="37" t="n">
        <f aca="false">K9-K7-K8</f>
        <v>5740.89583333333</v>
      </c>
      <c r="L10" s="37" t="n">
        <f aca="false">L9-L7-L8</f>
        <v>5740.89583333333</v>
      </c>
      <c r="M10" s="37" t="n">
        <f aca="false">M9-M7-M8</f>
        <v>5740.89583333333</v>
      </c>
      <c r="N10" s="37" t="n">
        <f aca="false">N9-N7-N8</f>
        <v>5740.89583333333</v>
      </c>
      <c r="O10" s="37" t="n">
        <f aca="false">O9-O7-O8</f>
        <v>5740.89583333333</v>
      </c>
      <c r="P10" s="37" t="n">
        <f aca="false">P9-P7-P8</f>
        <v>5740.89583333333</v>
      </c>
      <c r="Q10" s="37" t="n">
        <f aca="false">Q9-Q7-Q8</f>
        <v>5740.89583333333</v>
      </c>
      <c r="R10" s="37" t="n">
        <f aca="false">R9-R7-R8</f>
        <v>5740.89583333333</v>
      </c>
      <c r="S10" s="37" t="n">
        <f aca="false">S9-S7-S8</f>
        <v>5740.89583333333</v>
      </c>
      <c r="T10" s="37" t="n">
        <f aca="false">T9-T7-T8</f>
        <v>5740.89583333333</v>
      </c>
      <c r="U10" s="37" t="n">
        <f aca="false">U9-U7-U8</f>
        <v>5740.89583333333</v>
      </c>
      <c r="V10" s="37" t="n">
        <f aca="false">V9-V7-V8</f>
        <v>5740.89583333333</v>
      </c>
      <c r="W10" s="37" t="n">
        <f aca="false">W9-W7-W8</f>
        <v>5740.89583333333</v>
      </c>
      <c r="X10" s="37" t="n">
        <f aca="false">X9-X7-X8</f>
        <v>5740.89583333333</v>
      </c>
      <c r="Y10" s="37" t="n">
        <f aca="false">Y9-Y7-Y8</f>
        <v>5740.89583333333</v>
      </c>
      <c r="Z10" s="37" t="n">
        <f aca="false">Z9-Z7-Z8</f>
        <v>5740.89583333333</v>
      </c>
    </row>
    <row r="11" customFormat="false" ht="15" hidden="false" customHeight="false" outlineLevel="0" collapsed="false">
      <c r="A11" s="11" t="s">
        <v>357</v>
      </c>
      <c r="C11" s="35" t="n">
        <f aca="false">IF(AND('Hire Analysis'!$D$7="Yes",C$3&gt;='Hire Analysis'!$D$8),'Hire Analysis'!$D$31*Assumptions!$B$62,0)</f>
        <v>0</v>
      </c>
      <c r="D11" s="35" t="n">
        <f aca="false">IF(AND('Hire Analysis'!$D$7="Yes",D$3&gt;='Hire Analysis'!$D$8),'Hire Analysis'!$D$31*Assumptions!$B$62,0)</f>
        <v>0</v>
      </c>
      <c r="E11" s="35" t="n">
        <f aca="false">IF(AND('Hire Analysis'!$D$7="Yes",E$3&gt;='Hire Analysis'!$D$8),'Hire Analysis'!$D$31*Assumptions!$B$62,0)</f>
        <v>0</v>
      </c>
      <c r="F11" s="35" t="n">
        <f aca="false">IF(AND('Hire Analysis'!$D$7="Yes",F$3&gt;='Hire Analysis'!$D$8),'Hire Analysis'!$D$31*Assumptions!$B$62,0)</f>
        <v>0</v>
      </c>
      <c r="G11" s="35" t="n">
        <f aca="false">IF(AND('Hire Analysis'!$D$7="Yes",G$3&gt;='Hire Analysis'!$D$8),'Hire Analysis'!$D$31*Assumptions!$B$62,0)</f>
        <v>0</v>
      </c>
      <c r="H11" s="35" t="n">
        <f aca="false">IF(AND('Hire Analysis'!$D$7="Yes",H$3&gt;='Hire Analysis'!$D$8),'Hire Analysis'!$D$31*Assumptions!$B$62,0)</f>
        <v>0</v>
      </c>
      <c r="I11" s="35" t="n">
        <f aca="false">IF(AND('Hire Analysis'!$D$7="Yes",I$3&gt;='Hire Analysis'!$D$8),'Hire Analysis'!$D$31*Assumptions!$B$62,0)</f>
        <v>0</v>
      </c>
      <c r="J11" s="35" t="n">
        <f aca="false">IF(AND('Hire Analysis'!$D$7="Yes",J$3&gt;='Hire Analysis'!$D$8),'Hire Analysis'!$D$31*Assumptions!$B$62,0)</f>
        <v>0</v>
      </c>
      <c r="K11" s="35" t="n">
        <f aca="false">IF(AND('Hire Analysis'!$D$7="Yes",K$3&gt;='Hire Analysis'!$D$8),'Hire Analysis'!$D$31*Assumptions!$B$62,0)</f>
        <v>0</v>
      </c>
      <c r="L11" s="35" t="n">
        <f aca="false">IF(AND('Hire Analysis'!$D$7="Yes",L$3&gt;='Hire Analysis'!$D$8),'Hire Analysis'!$D$31*Assumptions!$B$62,0)</f>
        <v>0</v>
      </c>
      <c r="M11" s="35" t="n">
        <f aca="false">IF(AND('Hire Analysis'!$D$7="Yes",M$3&gt;='Hire Analysis'!$D$8),'Hire Analysis'!$D$31*Assumptions!$B$62,0)</f>
        <v>0</v>
      </c>
      <c r="N11" s="35" t="n">
        <f aca="false">IF(AND('Hire Analysis'!$D$7="Yes",N$3&gt;='Hire Analysis'!$D$8),'Hire Analysis'!$D$31*Assumptions!$B$62,0)</f>
        <v>0</v>
      </c>
      <c r="O11" s="35" t="n">
        <f aca="false">IF(AND('Hire Analysis'!$D$7="Yes",O$3&gt;='Hire Analysis'!$D$8),'Hire Analysis'!$D$31*Assumptions!$B$62,0)</f>
        <v>0</v>
      </c>
      <c r="P11" s="35" t="n">
        <f aca="false">IF(AND('Hire Analysis'!$D$7="Yes",P$3&gt;='Hire Analysis'!$D$8),'Hire Analysis'!$D$31*Assumptions!$B$62,0)</f>
        <v>0</v>
      </c>
      <c r="Q11" s="35" t="n">
        <f aca="false">IF(AND('Hire Analysis'!$D$7="Yes",Q$3&gt;='Hire Analysis'!$D$8),'Hire Analysis'!$D$31*Assumptions!$B$62,0)</f>
        <v>0</v>
      </c>
      <c r="R11" s="35" t="n">
        <f aca="false">IF(AND('Hire Analysis'!$D$7="Yes",R$3&gt;='Hire Analysis'!$D$8),'Hire Analysis'!$D$31*Assumptions!$B$62,0)</f>
        <v>0</v>
      </c>
      <c r="S11" s="35" t="n">
        <f aca="false">IF(AND('Hire Analysis'!$D$7="Yes",S$3&gt;='Hire Analysis'!$D$8),'Hire Analysis'!$D$31*Assumptions!$B$62,0)</f>
        <v>0</v>
      </c>
      <c r="T11" s="35" t="n">
        <f aca="false">IF(AND('Hire Analysis'!$D$7="Yes",T$3&gt;='Hire Analysis'!$D$8),'Hire Analysis'!$D$31*Assumptions!$B$62,0)</f>
        <v>0</v>
      </c>
      <c r="U11" s="35" t="n">
        <f aca="false">IF(AND('Hire Analysis'!$D$7="Yes",U$3&gt;='Hire Analysis'!$D$8),'Hire Analysis'!$D$31*Assumptions!$B$62,0)</f>
        <v>0</v>
      </c>
      <c r="V11" s="35" t="n">
        <f aca="false">IF(AND('Hire Analysis'!$D$7="Yes",V$3&gt;='Hire Analysis'!$D$8),'Hire Analysis'!$D$31*Assumptions!$B$62,0)</f>
        <v>0</v>
      </c>
      <c r="W11" s="35" t="n">
        <f aca="false">IF(AND('Hire Analysis'!$D$7="Yes",W$3&gt;='Hire Analysis'!$D$8),'Hire Analysis'!$D$31*Assumptions!$B$62,0)</f>
        <v>0</v>
      </c>
      <c r="X11" s="35" t="n">
        <f aca="false">IF(AND('Hire Analysis'!$D$7="Yes",X$3&gt;='Hire Analysis'!$D$8),'Hire Analysis'!$D$31*Assumptions!$B$62,0)</f>
        <v>0</v>
      </c>
      <c r="Y11" s="35" t="n">
        <f aca="false">IF(AND('Hire Analysis'!$D$7="Yes",Y$3&gt;='Hire Analysis'!$D$8),'Hire Analysis'!$D$31*Assumptions!$B$62,0)</f>
        <v>0</v>
      </c>
      <c r="Z11" s="35" t="n">
        <f aca="false">IF(AND('Hire Analysis'!$D$7="Yes",Z$3&gt;='Hire Analysis'!$D$8),'Hire Analysis'!$D$31*Assumptions!$B$62,0)</f>
        <v>0</v>
      </c>
    </row>
    <row r="12" customFormat="false" ht="15" hidden="false" customHeight="false" outlineLevel="0" collapsed="false">
      <c r="A12" s="11" t="s">
        <v>358</v>
      </c>
      <c r="C12" s="35" t="n">
        <f aca="false">IF(AND('Hire Analysis'!$D$7="Yes",C$3='Hire Analysis'!$D$8),'Hire Analysis'!$D$39*Assumptions!$B$62,0)</f>
        <v>0</v>
      </c>
      <c r="D12" s="35" t="n">
        <f aca="false">IF(AND('Hire Analysis'!$D$7="Yes",D$3='Hire Analysis'!$D$8),'Hire Analysis'!$D$39*Assumptions!$B$62,0)</f>
        <v>0</v>
      </c>
      <c r="E12" s="35" t="n">
        <f aca="false">IF(AND('Hire Analysis'!$D$7="Yes",E$3='Hire Analysis'!$D$8),'Hire Analysis'!$D$39*Assumptions!$B$62,0)</f>
        <v>0</v>
      </c>
      <c r="F12" s="35" t="n">
        <f aca="false">IF(AND('Hire Analysis'!$D$7="Yes",F$3='Hire Analysis'!$D$8),'Hire Analysis'!$D$39*Assumptions!$B$62,0)</f>
        <v>0</v>
      </c>
      <c r="G12" s="35" t="n">
        <f aca="false">IF(AND('Hire Analysis'!$D$7="Yes",G$3='Hire Analysis'!$D$8),'Hire Analysis'!$D$39*Assumptions!$B$62,0)</f>
        <v>0</v>
      </c>
      <c r="H12" s="35" t="n">
        <f aca="false">IF(AND('Hire Analysis'!$D$7="Yes",H$3='Hire Analysis'!$D$8),'Hire Analysis'!$D$39*Assumptions!$B$62,0)</f>
        <v>0</v>
      </c>
      <c r="I12" s="35" t="n">
        <f aca="false">IF(AND('Hire Analysis'!$D$7="Yes",I$3='Hire Analysis'!$D$8),'Hire Analysis'!$D$39*Assumptions!$B$62,0)</f>
        <v>0</v>
      </c>
      <c r="J12" s="35" t="n">
        <f aca="false">IF(AND('Hire Analysis'!$D$7="Yes",J$3='Hire Analysis'!$D$8),'Hire Analysis'!$D$39*Assumptions!$B$62,0)</f>
        <v>0</v>
      </c>
      <c r="K12" s="35" t="n">
        <f aca="false">IF(AND('Hire Analysis'!$D$7="Yes",K$3='Hire Analysis'!$D$8),'Hire Analysis'!$D$39*Assumptions!$B$62,0)</f>
        <v>0</v>
      </c>
      <c r="L12" s="35" t="n">
        <f aca="false">IF(AND('Hire Analysis'!$D$7="Yes",L$3='Hire Analysis'!$D$8),'Hire Analysis'!$D$39*Assumptions!$B$62,0)</f>
        <v>0</v>
      </c>
      <c r="M12" s="35" t="n">
        <f aca="false">IF(AND('Hire Analysis'!$D$7="Yes",M$3='Hire Analysis'!$D$8),'Hire Analysis'!$D$39*Assumptions!$B$62,0)</f>
        <v>0</v>
      </c>
      <c r="N12" s="35" t="n">
        <f aca="false">IF(AND('Hire Analysis'!$D$7="Yes",N$3='Hire Analysis'!$D$8),'Hire Analysis'!$D$39*Assumptions!$B$62,0)</f>
        <v>0</v>
      </c>
      <c r="O12" s="35" t="n">
        <f aca="false">IF(AND('Hire Analysis'!$D$7="Yes",O$3='Hire Analysis'!$D$8),'Hire Analysis'!$D$39*Assumptions!$B$62,0)</f>
        <v>0</v>
      </c>
      <c r="P12" s="35" t="n">
        <f aca="false">IF(AND('Hire Analysis'!$D$7="Yes",P$3='Hire Analysis'!$D$8),'Hire Analysis'!$D$39*Assumptions!$B$62,0)</f>
        <v>0</v>
      </c>
      <c r="Q12" s="35" t="n">
        <f aca="false">IF(AND('Hire Analysis'!$D$7="Yes",Q$3='Hire Analysis'!$D$8),'Hire Analysis'!$D$39*Assumptions!$B$62,0)</f>
        <v>0</v>
      </c>
      <c r="R12" s="35" t="n">
        <f aca="false">IF(AND('Hire Analysis'!$D$7="Yes",R$3='Hire Analysis'!$D$8),'Hire Analysis'!$D$39*Assumptions!$B$62,0)</f>
        <v>0</v>
      </c>
      <c r="S12" s="35" t="n">
        <f aca="false">IF(AND('Hire Analysis'!$D$7="Yes",S$3='Hire Analysis'!$D$8),'Hire Analysis'!$D$39*Assumptions!$B$62,0)</f>
        <v>0</v>
      </c>
      <c r="T12" s="35" t="n">
        <f aca="false">IF(AND('Hire Analysis'!$D$7="Yes",T$3='Hire Analysis'!$D$8),'Hire Analysis'!$D$39*Assumptions!$B$62,0)</f>
        <v>0</v>
      </c>
      <c r="U12" s="35" t="n">
        <f aca="false">IF(AND('Hire Analysis'!$D$7="Yes",U$3='Hire Analysis'!$D$8),'Hire Analysis'!$D$39*Assumptions!$B$62,0)</f>
        <v>0</v>
      </c>
      <c r="V12" s="35" t="n">
        <f aca="false">IF(AND('Hire Analysis'!$D$7="Yes",V$3='Hire Analysis'!$D$8),'Hire Analysis'!$D$39*Assumptions!$B$62,0)</f>
        <v>0</v>
      </c>
      <c r="W12" s="35" t="n">
        <f aca="false">IF(AND('Hire Analysis'!$D$7="Yes",W$3='Hire Analysis'!$D$8),'Hire Analysis'!$D$39*Assumptions!$B$62,0)</f>
        <v>0</v>
      </c>
      <c r="X12" s="35" t="n">
        <f aca="false">IF(AND('Hire Analysis'!$D$7="Yes",X$3='Hire Analysis'!$D$8),'Hire Analysis'!$D$39*Assumptions!$B$62,0)</f>
        <v>0</v>
      </c>
      <c r="Y12" s="35" t="n">
        <f aca="false">IF(AND('Hire Analysis'!$D$7="Yes",Y$3='Hire Analysis'!$D$8),'Hire Analysis'!$D$39*Assumptions!$B$62,0)</f>
        <v>0</v>
      </c>
      <c r="Z12" s="35" t="n">
        <f aca="false">IF(AND('Hire Analysis'!$D$7="Yes",Z$3='Hire Analysis'!$D$8),'Hire Analysis'!$D$39*Assumptions!$B$62,0)</f>
        <v>0</v>
      </c>
    </row>
    <row r="13" customFormat="false" ht="15" hidden="false" customHeight="false" outlineLevel="0" collapsed="false">
      <c r="A13" s="11" t="s">
        <v>359</v>
      </c>
      <c r="C13" s="35" t="n">
        <f aca="false">IF(AND('Hire Analysis'!$D$7="Yes",C$3&gt;='Hire Analysis'!$D$8),'Hire Analysis'!$D$49/12*MIN(1,(C$3-'Hire Analysis'!$D$8+1)/MAX(1,'Hire Analysis'!$D$50))*Assumptions!$B$61,0)</f>
        <v>0</v>
      </c>
      <c r="D13" s="35" t="n">
        <f aca="false">IF(AND('Hire Analysis'!$D$7="Yes",D$3&gt;='Hire Analysis'!$D$8),'Hire Analysis'!$D$49/12*MIN(1,(D$3-'Hire Analysis'!$D$8+1)/MAX(1,'Hire Analysis'!$D$50))*Assumptions!$B$61,0)</f>
        <v>0</v>
      </c>
      <c r="E13" s="35" t="n">
        <f aca="false">IF(AND('Hire Analysis'!$D$7="Yes",E$3&gt;='Hire Analysis'!$D$8),'Hire Analysis'!$D$49/12*MIN(1,(E$3-'Hire Analysis'!$D$8+1)/MAX(1,'Hire Analysis'!$D$50))*Assumptions!$B$61,0)</f>
        <v>0</v>
      </c>
      <c r="F13" s="35" t="n">
        <f aca="false">IF(AND('Hire Analysis'!$D$7="Yes",F$3&gt;='Hire Analysis'!$D$8),'Hire Analysis'!$D$49/12*MIN(1,(F$3-'Hire Analysis'!$D$8+1)/MAX(1,'Hire Analysis'!$D$50))*Assumptions!$B$61,0)</f>
        <v>0</v>
      </c>
      <c r="G13" s="35" t="n">
        <f aca="false">IF(AND('Hire Analysis'!$D$7="Yes",G$3&gt;='Hire Analysis'!$D$8),'Hire Analysis'!$D$49/12*MIN(1,(G$3-'Hire Analysis'!$D$8+1)/MAX(1,'Hire Analysis'!$D$50))*Assumptions!$B$61,0)</f>
        <v>0</v>
      </c>
      <c r="H13" s="35" t="n">
        <f aca="false">IF(AND('Hire Analysis'!$D$7="Yes",H$3&gt;='Hire Analysis'!$D$8),'Hire Analysis'!$D$49/12*MIN(1,(H$3-'Hire Analysis'!$D$8+1)/MAX(1,'Hire Analysis'!$D$50))*Assumptions!$B$61,0)</f>
        <v>0</v>
      </c>
      <c r="I13" s="35" t="n">
        <f aca="false">IF(AND('Hire Analysis'!$D$7="Yes",I$3&gt;='Hire Analysis'!$D$8),'Hire Analysis'!$D$49/12*MIN(1,(I$3-'Hire Analysis'!$D$8+1)/MAX(1,'Hire Analysis'!$D$50))*Assumptions!$B$61,0)</f>
        <v>0</v>
      </c>
      <c r="J13" s="35" t="n">
        <f aca="false">IF(AND('Hire Analysis'!$D$7="Yes",J$3&gt;='Hire Analysis'!$D$8),'Hire Analysis'!$D$49/12*MIN(1,(J$3-'Hire Analysis'!$D$8+1)/MAX(1,'Hire Analysis'!$D$50))*Assumptions!$B$61,0)</f>
        <v>0</v>
      </c>
      <c r="K13" s="35" t="n">
        <f aca="false">IF(AND('Hire Analysis'!$D$7="Yes",K$3&gt;='Hire Analysis'!$D$8),'Hire Analysis'!$D$49/12*MIN(1,(K$3-'Hire Analysis'!$D$8+1)/MAX(1,'Hire Analysis'!$D$50))*Assumptions!$B$61,0)</f>
        <v>0</v>
      </c>
      <c r="L13" s="35" t="n">
        <f aca="false">IF(AND('Hire Analysis'!$D$7="Yes",L$3&gt;='Hire Analysis'!$D$8),'Hire Analysis'!$D$49/12*MIN(1,(L$3-'Hire Analysis'!$D$8+1)/MAX(1,'Hire Analysis'!$D$50))*Assumptions!$B$61,0)</f>
        <v>0</v>
      </c>
      <c r="M13" s="35" t="n">
        <f aca="false">IF(AND('Hire Analysis'!$D$7="Yes",M$3&gt;='Hire Analysis'!$D$8),'Hire Analysis'!$D$49/12*MIN(1,(M$3-'Hire Analysis'!$D$8+1)/MAX(1,'Hire Analysis'!$D$50))*Assumptions!$B$61,0)</f>
        <v>0</v>
      </c>
      <c r="N13" s="35" t="n">
        <f aca="false">IF(AND('Hire Analysis'!$D$7="Yes",N$3&gt;='Hire Analysis'!$D$8),'Hire Analysis'!$D$49/12*MIN(1,(N$3-'Hire Analysis'!$D$8+1)/MAX(1,'Hire Analysis'!$D$50))*Assumptions!$B$61,0)</f>
        <v>0</v>
      </c>
      <c r="O13" s="35" t="n">
        <f aca="false">IF(AND('Hire Analysis'!$D$7="Yes",O$3&gt;='Hire Analysis'!$D$8),'Hire Analysis'!$D$49/12*MIN(1,(O$3-'Hire Analysis'!$D$8+1)/MAX(1,'Hire Analysis'!$D$50))*Assumptions!$B$61,0)</f>
        <v>0</v>
      </c>
      <c r="P13" s="35" t="n">
        <f aca="false">IF(AND('Hire Analysis'!$D$7="Yes",P$3&gt;='Hire Analysis'!$D$8),'Hire Analysis'!$D$49/12*MIN(1,(P$3-'Hire Analysis'!$D$8+1)/MAX(1,'Hire Analysis'!$D$50))*Assumptions!$B$61,0)</f>
        <v>0</v>
      </c>
      <c r="Q13" s="35" t="n">
        <f aca="false">IF(AND('Hire Analysis'!$D$7="Yes",Q$3&gt;='Hire Analysis'!$D$8),'Hire Analysis'!$D$49/12*MIN(1,(Q$3-'Hire Analysis'!$D$8+1)/MAX(1,'Hire Analysis'!$D$50))*Assumptions!$B$61,0)</f>
        <v>0</v>
      </c>
      <c r="R13" s="35" t="n">
        <f aca="false">IF(AND('Hire Analysis'!$D$7="Yes",R$3&gt;='Hire Analysis'!$D$8),'Hire Analysis'!$D$49/12*MIN(1,(R$3-'Hire Analysis'!$D$8+1)/MAX(1,'Hire Analysis'!$D$50))*Assumptions!$B$61,0)</f>
        <v>0</v>
      </c>
      <c r="S13" s="35" t="n">
        <f aca="false">IF(AND('Hire Analysis'!$D$7="Yes",S$3&gt;='Hire Analysis'!$D$8),'Hire Analysis'!$D$49/12*MIN(1,(S$3-'Hire Analysis'!$D$8+1)/MAX(1,'Hire Analysis'!$D$50))*Assumptions!$B$61,0)</f>
        <v>0</v>
      </c>
      <c r="T13" s="35" t="n">
        <f aca="false">IF(AND('Hire Analysis'!$D$7="Yes",T$3&gt;='Hire Analysis'!$D$8),'Hire Analysis'!$D$49/12*MIN(1,(T$3-'Hire Analysis'!$D$8+1)/MAX(1,'Hire Analysis'!$D$50))*Assumptions!$B$61,0)</f>
        <v>0</v>
      </c>
      <c r="U13" s="35" t="n">
        <f aca="false">IF(AND('Hire Analysis'!$D$7="Yes",U$3&gt;='Hire Analysis'!$D$8),'Hire Analysis'!$D$49/12*MIN(1,(U$3-'Hire Analysis'!$D$8+1)/MAX(1,'Hire Analysis'!$D$50))*Assumptions!$B$61,0)</f>
        <v>0</v>
      </c>
      <c r="V13" s="35" t="n">
        <f aca="false">IF(AND('Hire Analysis'!$D$7="Yes",V$3&gt;='Hire Analysis'!$D$8),'Hire Analysis'!$D$49/12*MIN(1,(V$3-'Hire Analysis'!$D$8+1)/MAX(1,'Hire Analysis'!$D$50))*Assumptions!$B$61,0)</f>
        <v>0</v>
      </c>
      <c r="W13" s="35" t="n">
        <f aca="false">IF(AND('Hire Analysis'!$D$7="Yes",W$3&gt;='Hire Analysis'!$D$8),'Hire Analysis'!$D$49/12*MIN(1,(W$3-'Hire Analysis'!$D$8+1)/MAX(1,'Hire Analysis'!$D$50))*Assumptions!$B$61,0)</f>
        <v>0</v>
      </c>
      <c r="X13" s="35" t="n">
        <f aca="false">IF(AND('Hire Analysis'!$D$7="Yes",X$3&gt;='Hire Analysis'!$D$8),'Hire Analysis'!$D$49/12*MIN(1,(X$3-'Hire Analysis'!$D$8+1)/MAX(1,'Hire Analysis'!$D$50))*Assumptions!$B$61,0)</f>
        <v>0</v>
      </c>
      <c r="Y13" s="35" t="n">
        <f aca="false">IF(AND('Hire Analysis'!$D$7="Yes",Y$3&gt;='Hire Analysis'!$D$8),'Hire Analysis'!$D$49/12*MIN(1,(Y$3-'Hire Analysis'!$D$8+1)/MAX(1,'Hire Analysis'!$D$50))*Assumptions!$B$61,0)</f>
        <v>0</v>
      </c>
      <c r="Z13" s="35" t="n">
        <f aca="false">IF(AND('Hire Analysis'!$D$7="Yes",Z$3&gt;='Hire Analysis'!$D$8),'Hire Analysis'!$D$49/12*MIN(1,(Z$3-'Hire Analysis'!$D$8+1)/MAX(1,'Hire Analysis'!$D$50))*Assumptions!$B$61,0)</f>
        <v>0</v>
      </c>
    </row>
    <row r="14" customFormat="false" ht="15" hidden="false" customHeight="false" outlineLevel="0" collapsed="false">
      <c r="A14" s="36" t="s">
        <v>360</v>
      </c>
      <c r="C14" s="37" t="n">
        <f aca="false">C13-C11-C12</f>
        <v>0</v>
      </c>
      <c r="D14" s="37" t="n">
        <f aca="false">D13-D11-D12</f>
        <v>0</v>
      </c>
      <c r="E14" s="37" t="n">
        <f aca="false">E13-E11-E12</f>
        <v>0</v>
      </c>
      <c r="F14" s="37" t="n">
        <f aca="false">F13-F11-F12</f>
        <v>0</v>
      </c>
      <c r="G14" s="37" t="n">
        <f aca="false">G13-G11-G12</f>
        <v>0</v>
      </c>
      <c r="H14" s="37" t="n">
        <f aca="false">H13-H11-H12</f>
        <v>0</v>
      </c>
      <c r="I14" s="37" t="n">
        <f aca="false">I13-I11-I12</f>
        <v>0</v>
      </c>
      <c r="J14" s="37" t="n">
        <f aca="false">J13-J11-J12</f>
        <v>0</v>
      </c>
      <c r="K14" s="37" t="n">
        <f aca="false">K13-K11-K12</f>
        <v>0</v>
      </c>
      <c r="L14" s="37" t="n">
        <f aca="false">L13-L11-L12</f>
        <v>0</v>
      </c>
      <c r="M14" s="37" t="n">
        <f aca="false">M13-M11-M12</f>
        <v>0</v>
      </c>
      <c r="N14" s="37" t="n">
        <f aca="false">N13-N11-N12</f>
        <v>0</v>
      </c>
      <c r="O14" s="37" t="n">
        <f aca="false">O13-O11-O12</f>
        <v>0</v>
      </c>
      <c r="P14" s="37" t="n">
        <f aca="false">P13-P11-P12</f>
        <v>0</v>
      </c>
      <c r="Q14" s="37" t="n">
        <f aca="false">Q13-Q11-Q12</f>
        <v>0</v>
      </c>
      <c r="R14" s="37" t="n">
        <f aca="false">R13-R11-R12</f>
        <v>0</v>
      </c>
      <c r="S14" s="37" t="n">
        <f aca="false">S13-S11-S12</f>
        <v>0</v>
      </c>
      <c r="T14" s="37" t="n">
        <f aca="false">T13-T11-T12</f>
        <v>0</v>
      </c>
      <c r="U14" s="37" t="n">
        <f aca="false">U13-U11-U12</f>
        <v>0</v>
      </c>
      <c r="V14" s="37" t="n">
        <f aca="false">V13-V11-V12</f>
        <v>0</v>
      </c>
      <c r="W14" s="37" t="n">
        <f aca="false">W13-W11-W12</f>
        <v>0</v>
      </c>
      <c r="X14" s="37" t="n">
        <f aca="false">X13-X11-X12</f>
        <v>0</v>
      </c>
      <c r="Y14" s="37" t="n">
        <f aca="false">Y13-Y11-Y12</f>
        <v>0</v>
      </c>
      <c r="Z14" s="37" t="n">
        <f aca="false">Z13-Z11-Z12</f>
        <v>0</v>
      </c>
    </row>
    <row r="15" customFormat="false" ht="15" hidden="false" customHeight="false" outlineLevel="0" collapsed="false">
      <c r="A15" s="11" t="s">
        <v>361</v>
      </c>
      <c r="C15" s="35" t="n">
        <f aca="false">IF(AND('Hire Analysis'!$E$7="Yes",C$3&gt;='Hire Analysis'!$E$8),'Hire Analysis'!$E$31*Assumptions!$B$62,0)</f>
        <v>0</v>
      </c>
      <c r="D15" s="35" t="n">
        <f aca="false">IF(AND('Hire Analysis'!$E$7="Yes",D$3&gt;='Hire Analysis'!$E$8),'Hire Analysis'!$E$31*Assumptions!$B$62,0)</f>
        <v>0</v>
      </c>
      <c r="E15" s="35" t="n">
        <f aca="false">IF(AND('Hire Analysis'!$E$7="Yes",E$3&gt;='Hire Analysis'!$E$8),'Hire Analysis'!$E$31*Assumptions!$B$62,0)</f>
        <v>0</v>
      </c>
      <c r="F15" s="35" t="n">
        <f aca="false">IF(AND('Hire Analysis'!$E$7="Yes",F$3&gt;='Hire Analysis'!$E$8),'Hire Analysis'!$E$31*Assumptions!$B$62,0)</f>
        <v>0</v>
      </c>
      <c r="G15" s="35" t="n">
        <f aca="false">IF(AND('Hire Analysis'!$E$7="Yes",G$3&gt;='Hire Analysis'!$E$8),'Hire Analysis'!$E$31*Assumptions!$B$62,0)</f>
        <v>0</v>
      </c>
      <c r="H15" s="35" t="n">
        <f aca="false">IF(AND('Hire Analysis'!$E$7="Yes",H$3&gt;='Hire Analysis'!$E$8),'Hire Analysis'!$E$31*Assumptions!$B$62,0)</f>
        <v>0</v>
      </c>
      <c r="I15" s="35" t="n">
        <f aca="false">IF(AND('Hire Analysis'!$E$7="Yes",I$3&gt;='Hire Analysis'!$E$8),'Hire Analysis'!$E$31*Assumptions!$B$62,0)</f>
        <v>0</v>
      </c>
      <c r="J15" s="35" t="n">
        <f aca="false">IF(AND('Hire Analysis'!$E$7="Yes",J$3&gt;='Hire Analysis'!$E$8),'Hire Analysis'!$E$31*Assumptions!$B$62,0)</f>
        <v>0</v>
      </c>
      <c r="K15" s="35" t="n">
        <f aca="false">IF(AND('Hire Analysis'!$E$7="Yes",K$3&gt;='Hire Analysis'!$E$8),'Hire Analysis'!$E$31*Assumptions!$B$62,0)</f>
        <v>0</v>
      </c>
      <c r="L15" s="35" t="n">
        <f aca="false">IF(AND('Hire Analysis'!$E$7="Yes",L$3&gt;='Hire Analysis'!$E$8),'Hire Analysis'!$E$31*Assumptions!$B$62,0)</f>
        <v>0</v>
      </c>
      <c r="M15" s="35" t="n">
        <f aca="false">IF(AND('Hire Analysis'!$E$7="Yes",M$3&gt;='Hire Analysis'!$E$8),'Hire Analysis'!$E$31*Assumptions!$B$62,0)</f>
        <v>0</v>
      </c>
      <c r="N15" s="35" t="n">
        <f aca="false">IF(AND('Hire Analysis'!$E$7="Yes",N$3&gt;='Hire Analysis'!$E$8),'Hire Analysis'!$E$31*Assumptions!$B$62,0)</f>
        <v>0</v>
      </c>
      <c r="O15" s="35" t="n">
        <f aca="false">IF(AND('Hire Analysis'!$E$7="Yes",O$3&gt;='Hire Analysis'!$E$8),'Hire Analysis'!$E$31*Assumptions!$B$62,0)</f>
        <v>0</v>
      </c>
      <c r="P15" s="35" t="n">
        <f aca="false">IF(AND('Hire Analysis'!$E$7="Yes",P$3&gt;='Hire Analysis'!$E$8),'Hire Analysis'!$E$31*Assumptions!$B$62,0)</f>
        <v>0</v>
      </c>
      <c r="Q15" s="35" t="n">
        <f aca="false">IF(AND('Hire Analysis'!$E$7="Yes",Q$3&gt;='Hire Analysis'!$E$8),'Hire Analysis'!$E$31*Assumptions!$B$62,0)</f>
        <v>0</v>
      </c>
      <c r="R15" s="35" t="n">
        <f aca="false">IF(AND('Hire Analysis'!$E$7="Yes",R$3&gt;='Hire Analysis'!$E$8),'Hire Analysis'!$E$31*Assumptions!$B$62,0)</f>
        <v>0</v>
      </c>
      <c r="S15" s="35" t="n">
        <f aca="false">IF(AND('Hire Analysis'!$E$7="Yes",S$3&gt;='Hire Analysis'!$E$8),'Hire Analysis'!$E$31*Assumptions!$B$62,0)</f>
        <v>0</v>
      </c>
      <c r="T15" s="35" t="n">
        <f aca="false">IF(AND('Hire Analysis'!$E$7="Yes",T$3&gt;='Hire Analysis'!$E$8),'Hire Analysis'!$E$31*Assumptions!$B$62,0)</f>
        <v>0</v>
      </c>
      <c r="U15" s="35" t="n">
        <f aca="false">IF(AND('Hire Analysis'!$E$7="Yes",U$3&gt;='Hire Analysis'!$E$8),'Hire Analysis'!$E$31*Assumptions!$B$62,0)</f>
        <v>0</v>
      </c>
      <c r="V15" s="35" t="n">
        <f aca="false">IF(AND('Hire Analysis'!$E$7="Yes",V$3&gt;='Hire Analysis'!$E$8),'Hire Analysis'!$E$31*Assumptions!$B$62,0)</f>
        <v>0</v>
      </c>
      <c r="W15" s="35" t="n">
        <f aca="false">IF(AND('Hire Analysis'!$E$7="Yes",W$3&gt;='Hire Analysis'!$E$8),'Hire Analysis'!$E$31*Assumptions!$B$62,0)</f>
        <v>0</v>
      </c>
      <c r="X15" s="35" t="n">
        <f aca="false">IF(AND('Hire Analysis'!$E$7="Yes",X$3&gt;='Hire Analysis'!$E$8),'Hire Analysis'!$E$31*Assumptions!$B$62,0)</f>
        <v>0</v>
      </c>
      <c r="Y15" s="35" t="n">
        <f aca="false">IF(AND('Hire Analysis'!$E$7="Yes",Y$3&gt;='Hire Analysis'!$E$8),'Hire Analysis'!$E$31*Assumptions!$B$62,0)</f>
        <v>0</v>
      </c>
      <c r="Z15" s="35" t="n">
        <f aca="false">IF(AND('Hire Analysis'!$E$7="Yes",Z$3&gt;='Hire Analysis'!$E$8),'Hire Analysis'!$E$31*Assumptions!$B$62,0)</f>
        <v>0</v>
      </c>
    </row>
    <row r="16" customFormat="false" ht="15" hidden="false" customHeight="false" outlineLevel="0" collapsed="false">
      <c r="A16" s="11" t="s">
        <v>362</v>
      </c>
      <c r="C16" s="35" t="n">
        <f aca="false">IF(AND('Hire Analysis'!$E$7="Yes",C$3='Hire Analysis'!$E$8),'Hire Analysis'!$E$39*Assumptions!$B$62,0)</f>
        <v>0</v>
      </c>
      <c r="D16" s="35" t="n">
        <f aca="false">IF(AND('Hire Analysis'!$E$7="Yes",D$3='Hire Analysis'!$E$8),'Hire Analysis'!$E$39*Assumptions!$B$62,0)</f>
        <v>0</v>
      </c>
      <c r="E16" s="35" t="n">
        <f aca="false">IF(AND('Hire Analysis'!$E$7="Yes",E$3='Hire Analysis'!$E$8),'Hire Analysis'!$E$39*Assumptions!$B$62,0)</f>
        <v>0</v>
      </c>
      <c r="F16" s="35" t="n">
        <f aca="false">IF(AND('Hire Analysis'!$E$7="Yes",F$3='Hire Analysis'!$E$8),'Hire Analysis'!$E$39*Assumptions!$B$62,0)</f>
        <v>0</v>
      </c>
      <c r="G16" s="35" t="n">
        <f aca="false">IF(AND('Hire Analysis'!$E$7="Yes",G$3='Hire Analysis'!$E$8),'Hire Analysis'!$E$39*Assumptions!$B$62,0)</f>
        <v>0</v>
      </c>
      <c r="H16" s="35" t="n">
        <f aca="false">IF(AND('Hire Analysis'!$E$7="Yes",H$3='Hire Analysis'!$E$8),'Hire Analysis'!$E$39*Assumptions!$B$62,0)</f>
        <v>0</v>
      </c>
      <c r="I16" s="35" t="n">
        <f aca="false">IF(AND('Hire Analysis'!$E$7="Yes",I$3='Hire Analysis'!$E$8),'Hire Analysis'!$E$39*Assumptions!$B$62,0)</f>
        <v>0</v>
      </c>
      <c r="J16" s="35" t="n">
        <f aca="false">IF(AND('Hire Analysis'!$E$7="Yes",J$3='Hire Analysis'!$E$8),'Hire Analysis'!$E$39*Assumptions!$B$62,0)</f>
        <v>0</v>
      </c>
      <c r="K16" s="35" t="n">
        <f aca="false">IF(AND('Hire Analysis'!$E$7="Yes",K$3='Hire Analysis'!$E$8),'Hire Analysis'!$E$39*Assumptions!$B$62,0)</f>
        <v>0</v>
      </c>
      <c r="L16" s="35" t="n">
        <f aca="false">IF(AND('Hire Analysis'!$E$7="Yes",L$3='Hire Analysis'!$E$8),'Hire Analysis'!$E$39*Assumptions!$B$62,0)</f>
        <v>0</v>
      </c>
      <c r="M16" s="35" t="n">
        <f aca="false">IF(AND('Hire Analysis'!$E$7="Yes",M$3='Hire Analysis'!$E$8),'Hire Analysis'!$E$39*Assumptions!$B$62,0)</f>
        <v>0</v>
      </c>
      <c r="N16" s="35" t="n">
        <f aca="false">IF(AND('Hire Analysis'!$E$7="Yes",N$3='Hire Analysis'!$E$8),'Hire Analysis'!$E$39*Assumptions!$B$62,0)</f>
        <v>0</v>
      </c>
      <c r="O16" s="35" t="n">
        <f aca="false">IF(AND('Hire Analysis'!$E$7="Yes",O$3='Hire Analysis'!$E$8),'Hire Analysis'!$E$39*Assumptions!$B$62,0)</f>
        <v>0</v>
      </c>
      <c r="P16" s="35" t="n">
        <f aca="false">IF(AND('Hire Analysis'!$E$7="Yes",P$3='Hire Analysis'!$E$8),'Hire Analysis'!$E$39*Assumptions!$B$62,0)</f>
        <v>0</v>
      </c>
      <c r="Q16" s="35" t="n">
        <f aca="false">IF(AND('Hire Analysis'!$E$7="Yes",Q$3='Hire Analysis'!$E$8),'Hire Analysis'!$E$39*Assumptions!$B$62,0)</f>
        <v>0</v>
      </c>
      <c r="R16" s="35" t="n">
        <f aca="false">IF(AND('Hire Analysis'!$E$7="Yes",R$3='Hire Analysis'!$E$8),'Hire Analysis'!$E$39*Assumptions!$B$62,0)</f>
        <v>0</v>
      </c>
      <c r="S16" s="35" t="n">
        <f aca="false">IF(AND('Hire Analysis'!$E$7="Yes",S$3='Hire Analysis'!$E$8),'Hire Analysis'!$E$39*Assumptions!$B$62,0)</f>
        <v>0</v>
      </c>
      <c r="T16" s="35" t="n">
        <f aca="false">IF(AND('Hire Analysis'!$E$7="Yes",T$3='Hire Analysis'!$E$8),'Hire Analysis'!$E$39*Assumptions!$B$62,0)</f>
        <v>0</v>
      </c>
      <c r="U16" s="35" t="n">
        <f aca="false">IF(AND('Hire Analysis'!$E$7="Yes",U$3='Hire Analysis'!$E$8),'Hire Analysis'!$E$39*Assumptions!$B$62,0)</f>
        <v>0</v>
      </c>
      <c r="V16" s="35" t="n">
        <f aca="false">IF(AND('Hire Analysis'!$E$7="Yes",V$3='Hire Analysis'!$E$8),'Hire Analysis'!$E$39*Assumptions!$B$62,0)</f>
        <v>0</v>
      </c>
      <c r="W16" s="35" t="n">
        <f aca="false">IF(AND('Hire Analysis'!$E$7="Yes",W$3='Hire Analysis'!$E$8),'Hire Analysis'!$E$39*Assumptions!$B$62,0)</f>
        <v>0</v>
      </c>
      <c r="X16" s="35" t="n">
        <f aca="false">IF(AND('Hire Analysis'!$E$7="Yes",X$3='Hire Analysis'!$E$8),'Hire Analysis'!$E$39*Assumptions!$B$62,0)</f>
        <v>0</v>
      </c>
      <c r="Y16" s="35" t="n">
        <f aca="false">IF(AND('Hire Analysis'!$E$7="Yes",Y$3='Hire Analysis'!$E$8),'Hire Analysis'!$E$39*Assumptions!$B$62,0)</f>
        <v>0</v>
      </c>
      <c r="Z16" s="35" t="n">
        <f aca="false">IF(AND('Hire Analysis'!$E$7="Yes",Z$3='Hire Analysis'!$E$8),'Hire Analysis'!$E$39*Assumptions!$B$62,0)</f>
        <v>0</v>
      </c>
    </row>
    <row r="17" customFormat="false" ht="15" hidden="false" customHeight="false" outlineLevel="0" collapsed="false">
      <c r="A17" s="11" t="s">
        <v>363</v>
      </c>
      <c r="C17" s="35" t="n">
        <f aca="false">IF(AND('Hire Analysis'!$E$7="Yes",C$3&gt;='Hire Analysis'!$E$8),'Hire Analysis'!$E$49/12*MIN(1,(C$3-'Hire Analysis'!$E$8+1)/MAX(1,'Hire Analysis'!$E$50))*Assumptions!$B$61,0)</f>
        <v>0</v>
      </c>
      <c r="D17" s="35" t="n">
        <f aca="false">IF(AND('Hire Analysis'!$E$7="Yes",D$3&gt;='Hire Analysis'!$E$8),'Hire Analysis'!$E$49/12*MIN(1,(D$3-'Hire Analysis'!$E$8+1)/MAX(1,'Hire Analysis'!$E$50))*Assumptions!$B$61,0)</f>
        <v>0</v>
      </c>
      <c r="E17" s="35" t="n">
        <f aca="false">IF(AND('Hire Analysis'!$E$7="Yes",E$3&gt;='Hire Analysis'!$E$8),'Hire Analysis'!$E$49/12*MIN(1,(E$3-'Hire Analysis'!$E$8+1)/MAX(1,'Hire Analysis'!$E$50))*Assumptions!$B$61,0)</f>
        <v>0</v>
      </c>
      <c r="F17" s="35" t="n">
        <f aca="false">IF(AND('Hire Analysis'!$E$7="Yes",F$3&gt;='Hire Analysis'!$E$8),'Hire Analysis'!$E$49/12*MIN(1,(F$3-'Hire Analysis'!$E$8+1)/MAX(1,'Hire Analysis'!$E$50))*Assumptions!$B$61,0)</f>
        <v>0</v>
      </c>
      <c r="G17" s="35" t="n">
        <f aca="false">IF(AND('Hire Analysis'!$E$7="Yes",G$3&gt;='Hire Analysis'!$E$8),'Hire Analysis'!$E$49/12*MIN(1,(G$3-'Hire Analysis'!$E$8+1)/MAX(1,'Hire Analysis'!$E$50))*Assumptions!$B$61,0)</f>
        <v>0</v>
      </c>
      <c r="H17" s="35" t="n">
        <f aca="false">IF(AND('Hire Analysis'!$E$7="Yes",H$3&gt;='Hire Analysis'!$E$8),'Hire Analysis'!$E$49/12*MIN(1,(H$3-'Hire Analysis'!$E$8+1)/MAX(1,'Hire Analysis'!$E$50))*Assumptions!$B$61,0)</f>
        <v>0</v>
      </c>
      <c r="I17" s="35" t="n">
        <f aca="false">IF(AND('Hire Analysis'!$E$7="Yes",I$3&gt;='Hire Analysis'!$E$8),'Hire Analysis'!$E$49/12*MIN(1,(I$3-'Hire Analysis'!$E$8+1)/MAX(1,'Hire Analysis'!$E$50))*Assumptions!$B$61,0)</f>
        <v>0</v>
      </c>
      <c r="J17" s="35" t="n">
        <f aca="false">IF(AND('Hire Analysis'!$E$7="Yes",J$3&gt;='Hire Analysis'!$E$8),'Hire Analysis'!$E$49/12*MIN(1,(J$3-'Hire Analysis'!$E$8+1)/MAX(1,'Hire Analysis'!$E$50))*Assumptions!$B$61,0)</f>
        <v>0</v>
      </c>
      <c r="K17" s="35" t="n">
        <f aca="false">IF(AND('Hire Analysis'!$E$7="Yes",K$3&gt;='Hire Analysis'!$E$8),'Hire Analysis'!$E$49/12*MIN(1,(K$3-'Hire Analysis'!$E$8+1)/MAX(1,'Hire Analysis'!$E$50))*Assumptions!$B$61,0)</f>
        <v>0</v>
      </c>
      <c r="L17" s="35" t="n">
        <f aca="false">IF(AND('Hire Analysis'!$E$7="Yes",L$3&gt;='Hire Analysis'!$E$8),'Hire Analysis'!$E$49/12*MIN(1,(L$3-'Hire Analysis'!$E$8+1)/MAX(1,'Hire Analysis'!$E$50))*Assumptions!$B$61,0)</f>
        <v>0</v>
      </c>
      <c r="M17" s="35" t="n">
        <f aca="false">IF(AND('Hire Analysis'!$E$7="Yes",M$3&gt;='Hire Analysis'!$E$8),'Hire Analysis'!$E$49/12*MIN(1,(M$3-'Hire Analysis'!$E$8+1)/MAX(1,'Hire Analysis'!$E$50))*Assumptions!$B$61,0)</f>
        <v>0</v>
      </c>
      <c r="N17" s="35" t="n">
        <f aca="false">IF(AND('Hire Analysis'!$E$7="Yes",N$3&gt;='Hire Analysis'!$E$8),'Hire Analysis'!$E$49/12*MIN(1,(N$3-'Hire Analysis'!$E$8+1)/MAX(1,'Hire Analysis'!$E$50))*Assumptions!$B$61,0)</f>
        <v>0</v>
      </c>
      <c r="O17" s="35" t="n">
        <f aca="false">IF(AND('Hire Analysis'!$E$7="Yes",O$3&gt;='Hire Analysis'!$E$8),'Hire Analysis'!$E$49/12*MIN(1,(O$3-'Hire Analysis'!$E$8+1)/MAX(1,'Hire Analysis'!$E$50))*Assumptions!$B$61,0)</f>
        <v>0</v>
      </c>
      <c r="P17" s="35" t="n">
        <f aca="false">IF(AND('Hire Analysis'!$E$7="Yes",P$3&gt;='Hire Analysis'!$E$8),'Hire Analysis'!$E$49/12*MIN(1,(P$3-'Hire Analysis'!$E$8+1)/MAX(1,'Hire Analysis'!$E$50))*Assumptions!$B$61,0)</f>
        <v>0</v>
      </c>
      <c r="Q17" s="35" t="n">
        <f aca="false">IF(AND('Hire Analysis'!$E$7="Yes",Q$3&gt;='Hire Analysis'!$E$8),'Hire Analysis'!$E$49/12*MIN(1,(Q$3-'Hire Analysis'!$E$8+1)/MAX(1,'Hire Analysis'!$E$50))*Assumptions!$B$61,0)</f>
        <v>0</v>
      </c>
      <c r="R17" s="35" t="n">
        <f aca="false">IF(AND('Hire Analysis'!$E$7="Yes",R$3&gt;='Hire Analysis'!$E$8),'Hire Analysis'!$E$49/12*MIN(1,(R$3-'Hire Analysis'!$E$8+1)/MAX(1,'Hire Analysis'!$E$50))*Assumptions!$B$61,0)</f>
        <v>0</v>
      </c>
      <c r="S17" s="35" t="n">
        <f aca="false">IF(AND('Hire Analysis'!$E$7="Yes",S$3&gt;='Hire Analysis'!$E$8),'Hire Analysis'!$E$49/12*MIN(1,(S$3-'Hire Analysis'!$E$8+1)/MAX(1,'Hire Analysis'!$E$50))*Assumptions!$B$61,0)</f>
        <v>0</v>
      </c>
      <c r="T17" s="35" t="n">
        <f aca="false">IF(AND('Hire Analysis'!$E$7="Yes",T$3&gt;='Hire Analysis'!$E$8),'Hire Analysis'!$E$49/12*MIN(1,(T$3-'Hire Analysis'!$E$8+1)/MAX(1,'Hire Analysis'!$E$50))*Assumptions!$B$61,0)</f>
        <v>0</v>
      </c>
      <c r="U17" s="35" t="n">
        <f aca="false">IF(AND('Hire Analysis'!$E$7="Yes",U$3&gt;='Hire Analysis'!$E$8),'Hire Analysis'!$E$49/12*MIN(1,(U$3-'Hire Analysis'!$E$8+1)/MAX(1,'Hire Analysis'!$E$50))*Assumptions!$B$61,0)</f>
        <v>0</v>
      </c>
      <c r="V17" s="35" t="n">
        <f aca="false">IF(AND('Hire Analysis'!$E$7="Yes",V$3&gt;='Hire Analysis'!$E$8),'Hire Analysis'!$E$49/12*MIN(1,(V$3-'Hire Analysis'!$E$8+1)/MAX(1,'Hire Analysis'!$E$50))*Assumptions!$B$61,0)</f>
        <v>0</v>
      </c>
      <c r="W17" s="35" t="n">
        <f aca="false">IF(AND('Hire Analysis'!$E$7="Yes",W$3&gt;='Hire Analysis'!$E$8),'Hire Analysis'!$E$49/12*MIN(1,(W$3-'Hire Analysis'!$E$8+1)/MAX(1,'Hire Analysis'!$E$50))*Assumptions!$B$61,0)</f>
        <v>0</v>
      </c>
      <c r="X17" s="35" t="n">
        <f aca="false">IF(AND('Hire Analysis'!$E$7="Yes",X$3&gt;='Hire Analysis'!$E$8),'Hire Analysis'!$E$49/12*MIN(1,(X$3-'Hire Analysis'!$E$8+1)/MAX(1,'Hire Analysis'!$E$50))*Assumptions!$B$61,0)</f>
        <v>0</v>
      </c>
      <c r="Y17" s="35" t="n">
        <f aca="false">IF(AND('Hire Analysis'!$E$7="Yes",Y$3&gt;='Hire Analysis'!$E$8),'Hire Analysis'!$E$49/12*MIN(1,(Y$3-'Hire Analysis'!$E$8+1)/MAX(1,'Hire Analysis'!$E$50))*Assumptions!$B$61,0)</f>
        <v>0</v>
      </c>
      <c r="Z17" s="35" t="n">
        <f aca="false">IF(AND('Hire Analysis'!$E$7="Yes",Z$3&gt;='Hire Analysis'!$E$8),'Hire Analysis'!$E$49/12*MIN(1,(Z$3-'Hire Analysis'!$E$8+1)/MAX(1,'Hire Analysis'!$E$50))*Assumptions!$B$61,0)</f>
        <v>0</v>
      </c>
    </row>
    <row r="18" customFormat="false" ht="15" hidden="false" customHeight="false" outlineLevel="0" collapsed="false">
      <c r="A18" s="36" t="s">
        <v>364</v>
      </c>
      <c r="C18" s="37" t="n">
        <f aca="false">C17-C15-C16</f>
        <v>0</v>
      </c>
      <c r="D18" s="37" t="n">
        <f aca="false">D17-D15-D16</f>
        <v>0</v>
      </c>
      <c r="E18" s="37" t="n">
        <f aca="false">E17-E15-E16</f>
        <v>0</v>
      </c>
      <c r="F18" s="37" t="n">
        <f aca="false">F17-F15-F16</f>
        <v>0</v>
      </c>
      <c r="G18" s="37" t="n">
        <f aca="false">G17-G15-G16</f>
        <v>0</v>
      </c>
      <c r="H18" s="37" t="n">
        <f aca="false">H17-H15-H16</f>
        <v>0</v>
      </c>
      <c r="I18" s="37" t="n">
        <f aca="false">I17-I15-I16</f>
        <v>0</v>
      </c>
      <c r="J18" s="37" t="n">
        <f aca="false">J17-J15-J16</f>
        <v>0</v>
      </c>
      <c r="K18" s="37" t="n">
        <f aca="false">K17-K15-K16</f>
        <v>0</v>
      </c>
      <c r="L18" s="37" t="n">
        <f aca="false">L17-L15-L16</f>
        <v>0</v>
      </c>
      <c r="M18" s="37" t="n">
        <f aca="false">M17-M15-M16</f>
        <v>0</v>
      </c>
      <c r="N18" s="37" t="n">
        <f aca="false">N17-N15-N16</f>
        <v>0</v>
      </c>
      <c r="O18" s="37" t="n">
        <f aca="false">O17-O15-O16</f>
        <v>0</v>
      </c>
      <c r="P18" s="37" t="n">
        <f aca="false">P17-P15-P16</f>
        <v>0</v>
      </c>
      <c r="Q18" s="37" t="n">
        <f aca="false">Q17-Q15-Q16</f>
        <v>0</v>
      </c>
      <c r="R18" s="37" t="n">
        <f aca="false">R17-R15-R16</f>
        <v>0</v>
      </c>
      <c r="S18" s="37" t="n">
        <f aca="false">S17-S15-S16</f>
        <v>0</v>
      </c>
      <c r="T18" s="37" t="n">
        <f aca="false">T17-T15-T16</f>
        <v>0</v>
      </c>
      <c r="U18" s="37" t="n">
        <f aca="false">U17-U15-U16</f>
        <v>0</v>
      </c>
      <c r="V18" s="37" t="n">
        <f aca="false">V17-V15-V16</f>
        <v>0</v>
      </c>
      <c r="W18" s="37" t="n">
        <f aca="false">W17-W15-W16</f>
        <v>0</v>
      </c>
      <c r="X18" s="37" t="n">
        <f aca="false">X17-X15-X16</f>
        <v>0</v>
      </c>
      <c r="Y18" s="37" t="n">
        <f aca="false">Y17-Y15-Y16</f>
        <v>0</v>
      </c>
      <c r="Z18" s="37" t="n">
        <f aca="false">Z17-Z15-Z16</f>
        <v>0</v>
      </c>
    </row>
    <row r="19" customFormat="false" ht="15" hidden="false" customHeight="false" outlineLevel="0" collapsed="false">
      <c r="A19" s="11" t="s">
        <v>365</v>
      </c>
      <c r="C19" s="35" t="n">
        <f aca="false">IF(AND('Hire Analysis'!$F$7="Yes",C$3&gt;='Hire Analysis'!$F$8),'Hire Analysis'!$F$31*Assumptions!$B$62,0)</f>
        <v>0</v>
      </c>
      <c r="D19" s="35" t="n">
        <f aca="false">IF(AND('Hire Analysis'!$F$7="Yes",D$3&gt;='Hire Analysis'!$F$8),'Hire Analysis'!$F$31*Assumptions!$B$62,0)</f>
        <v>0</v>
      </c>
      <c r="E19" s="35" t="n">
        <f aca="false">IF(AND('Hire Analysis'!$F$7="Yes",E$3&gt;='Hire Analysis'!$F$8),'Hire Analysis'!$F$31*Assumptions!$B$62,0)</f>
        <v>0</v>
      </c>
      <c r="F19" s="35" t="n">
        <f aca="false">IF(AND('Hire Analysis'!$F$7="Yes",F$3&gt;='Hire Analysis'!$F$8),'Hire Analysis'!$F$31*Assumptions!$B$62,0)</f>
        <v>0</v>
      </c>
      <c r="G19" s="35" t="n">
        <f aca="false">IF(AND('Hire Analysis'!$F$7="Yes",G$3&gt;='Hire Analysis'!$F$8),'Hire Analysis'!$F$31*Assumptions!$B$62,0)</f>
        <v>0</v>
      </c>
      <c r="H19" s="35" t="n">
        <f aca="false">IF(AND('Hire Analysis'!$F$7="Yes",H$3&gt;='Hire Analysis'!$F$8),'Hire Analysis'!$F$31*Assumptions!$B$62,0)</f>
        <v>0</v>
      </c>
      <c r="I19" s="35" t="n">
        <f aca="false">IF(AND('Hire Analysis'!$F$7="Yes",I$3&gt;='Hire Analysis'!$F$8),'Hire Analysis'!$F$31*Assumptions!$B$62,0)</f>
        <v>0</v>
      </c>
      <c r="J19" s="35" t="n">
        <f aca="false">IF(AND('Hire Analysis'!$F$7="Yes",J$3&gt;='Hire Analysis'!$F$8),'Hire Analysis'!$F$31*Assumptions!$B$62,0)</f>
        <v>0</v>
      </c>
      <c r="K19" s="35" t="n">
        <f aca="false">IF(AND('Hire Analysis'!$F$7="Yes",K$3&gt;='Hire Analysis'!$F$8),'Hire Analysis'!$F$31*Assumptions!$B$62,0)</f>
        <v>0</v>
      </c>
      <c r="L19" s="35" t="n">
        <f aca="false">IF(AND('Hire Analysis'!$F$7="Yes",L$3&gt;='Hire Analysis'!$F$8),'Hire Analysis'!$F$31*Assumptions!$B$62,0)</f>
        <v>0</v>
      </c>
      <c r="M19" s="35" t="n">
        <f aca="false">IF(AND('Hire Analysis'!$F$7="Yes",M$3&gt;='Hire Analysis'!$F$8),'Hire Analysis'!$F$31*Assumptions!$B$62,0)</f>
        <v>0</v>
      </c>
      <c r="N19" s="35" t="n">
        <f aca="false">IF(AND('Hire Analysis'!$F$7="Yes",N$3&gt;='Hire Analysis'!$F$8),'Hire Analysis'!$F$31*Assumptions!$B$62,0)</f>
        <v>0</v>
      </c>
      <c r="O19" s="35" t="n">
        <f aca="false">IF(AND('Hire Analysis'!$F$7="Yes",O$3&gt;='Hire Analysis'!$F$8),'Hire Analysis'!$F$31*Assumptions!$B$62,0)</f>
        <v>0</v>
      </c>
      <c r="P19" s="35" t="n">
        <f aca="false">IF(AND('Hire Analysis'!$F$7="Yes",P$3&gt;='Hire Analysis'!$F$8),'Hire Analysis'!$F$31*Assumptions!$B$62,0)</f>
        <v>0</v>
      </c>
      <c r="Q19" s="35" t="n">
        <f aca="false">IF(AND('Hire Analysis'!$F$7="Yes",Q$3&gt;='Hire Analysis'!$F$8),'Hire Analysis'!$F$31*Assumptions!$B$62,0)</f>
        <v>0</v>
      </c>
      <c r="R19" s="35" t="n">
        <f aca="false">IF(AND('Hire Analysis'!$F$7="Yes",R$3&gt;='Hire Analysis'!$F$8),'Hire Analysis'!$F$31*Assumptions!$B$62,0)</f>
        <v>0</v>
      </c>
      <c r="S19" s="35" t="n">
        <f aca="false">IF(AND('Hire Analysis'!$F$7="Yes",S$3&gt;='Hire Analysis'!$F$8),'Hire Analysis'!$F$31*Assumptions!$B$62,0)</f>
        <v>0</v>
      </c>
      <c r="T19" s="35" t="n">
        <f aca="false">IF(AND('Hire Analysis'!$F$7="Yes",T$3&gt;='Hire Analysis'!$F$8),'Hire Analysis'!$F$31*Assumptions!$B$62,0)</f>
        <v>0</v>
      </c>
      <c r="U19" s="35" t="n">
        <f aca="false">IF(AND('Hire Analysis'!$F$7="Yes",U$3&gt;='Hire Analysis'!$F$8),'Hire Analysis'!$F$31*Assumptions!$B$62,0)</f>
        <v>0</v>
      </c>
      <c r="V19" s="35" t="n">
        <f aca="false">IF(AND('Hire Analysis'!$F$7="Yes",V$3&gt;='Hire Analysis'!$F$8),'Hire Analysis'!$F$31*Assumptions!$B$62,0)</f>
        <v>0</v>
      </c>
      <c r="W19" s="35" t="n">
        <f aca="false">IF(AND('Hire Analysis'!$F$7="Yes",W$3&gt;='Hire Analysis'!$F$8),'Hire Analysis'!$F$31*Assumptions!$B$62,0)</f>
        <v>0</v>
      </c>
      <c r="X19" s="35" t="n">
        <f aca="false">IF(AND('Hire Analysis'!$F$7="Yes",X$3&gt;='Hire Analysis'!$F$8),'Hire Analysis'!$F$31*Assumptions!$B$62,0)</f>
        <v>0</v>
      </c>
      <c r="Y19" s="35" t="n">
        <f aca="false">IF(AND('Hire Analysis'!$F$7="Yes",Y$3&gt;='Hire Analysis'!$F$8),'Hire Analysis'!$F$31*Assumptions!$B$62,0)</f>
        <v>0</v>
      </c>
      <c r="Z19" s="35" t="n">
        <f aca="false">IF(AND('Hire Analysis'!$F$7="Yes",Z$3&gt;='Hire Analysis'!$F$8),'Hire Analysis'!$F$31*Assumptions!$B$62,0)</f>
        <v>0</v>
      </c>
    </row>
    <row r="20" customFormat="false" ht="15" hidden="false" customHeight="false" outlineLevel="0" collapsed="false">
      <c r="A20" s="11" t="s">
        <v>366</v>
      </c>
      <c r="C20" s="35" t="n">
        <f aca="false">IF(AND('Hire Analysis'!$F$7="Yes",C$3='Hire Analysis'!$F$8),'Hire Analysis'!$F$39*Assumptions!$B$62,0)</f>
        <v>0</v>
      </c>
      <c r="D20" s="35" t="n">
        <f aca="false">IF(AND('Hire Analysis'!$F$7="Yes",D$3='Hire Analysis'!$F$8),'Hire Analysis'!$F$39*Assumptions!$B$62,0)</f>
        <v>0</v>
      </c>
      <c r="E20" s="35" t="n">
        <f aca="false">IF(AND('Hire Analysis'!$F$7="Yes",E$3='Hire Analysis'!$F$8),'Hire Analysis'!$F$39*Assumptions!$B$62,0)</f>
        <v>0</v>
      </c>
      <c r="F20" s="35" t="n">
        <f aca="false">IF(AND('Hire Analysis'!$F$7="Yes",F$3='Hire Analysis'!$F$8),'Hire Analysis'!$F$39*Assumptions!$B$62,0)</f>
        <v>0</v>
      </c>
      <c r="G20" s="35" t="n">
        <f aca="false">IF(AND('Hire Analysis'!$F$7="Yes",G$3='Hire Analysis'!$F$8),'Hire Analysis'!$F$39*Assumptions!$B$62,0)</f>
        <v>0</v>
      </c>
      <c r="H20" s="35" t="n">
        <f aca="false">IF(AND('Hire Analysis'!$F$7="Yes",H$3='Hire Analysis'!$F$8),'Hire Analysis'!$F$39*Assumptions!$B$62,0)</f>
        <v>0</v>
      </c>
      <c r="I20" s="35" t="n">
        <f aca="false">IF(AND('Hire Analysis'!$F$7="Yes",I$3='Hire Analysis'!$F$8),'Hire Analysis'!$F$39*Assumptions!$B$62,0)</f>
        <v>0</v>
      </c>
      <c r="J20" s="35" t="n">
        <f aca="false">IF(AND('Hire Analysis'!$F$7="Yes",J$3='Hire Analysis'!$F$8),'Hire Analysis'!$F$39*Assumptions!$B$62,0)</f>
        <v>0</v>
      </c>
      <c r="K20" s="35" t="n">
        <f aca="false">IF(AND('Hire Analysis'!$F$7="Yes",K$3='Hire Analysis'!$F$8),'Hire Analysis'!$F$39*Assumptions!$B$62,0)</f>
        <v>0</v>
      </c>
      <c r="L20" s="35" t="n">
        <f aca="false">IF(AND('Hire Analysis'!$F$7="Yes",L$3='Hire Analysis'!$F$8),'Hire Analysis'!$F$39*Assumptions!$B$62,0)</f>
        <v>0</v>
      </c>
      <c r="M20" s="35" t="n">
        <f aca="false">IF(AND('Hire Analysis'!$F$7="Yes",M$3='Hire Analysis'!$F$8),'Hire Analysis'!$F$39*Assumptions!$B$62,0)</f>
        <v>0</v>
      </c>
      <c r="N20" s="35" t="n">
        <f aca="false">IF(AND('Hire Analysis'!$F$7="Yes",N$3='Hire Analysis'!$F$8),'Hire Analysis'!$F$39*Assumptions!$B$62,0)</f>
        <v>0</v>
      </c>
      <c r="O20" s="35" t="n">
        <f aca="false">IF(AND('Hire Analysis'!$F$7="Yes",O$3='Hire Analysis'!$F$8),'Hire Analysis'!$F$39*Assumptions!$B$62,0)</f>
        <v>0</v>
      </c>
      <c r="P20" s="35" t="n">
        <f aca="false">IF(AND('Hire Analysis'!$F$7="Yes",P$3='Hire Analysis'!$F$8),'Hire Analysis'!$F$39*Assumptions!$B$62,0)</f>
        <v>0</v>
      </c>
      <c r="Q20" s="35" t="n">
        <f aca="false">IF(AND('Hire Analysis'!$F$7="Yes",Q$3='Hire Analysis'!$F$8),'Hire Analysis'!$F$39*Assumptions!$B$62,0)</f>
        <v>0</v>
      </c>
      <c r="R20" s="35" t="n">
        <f aca="false">IF(AND('Hire Analysis'!$F$7="Yes",R$3='Hire Analysis'!$F$8),'Hire Analysis'!$F$39*Assumptions!$B$62,0)</f>
        <v>0</v>
      </c>
      <c r="S20" s="35" t="n">
        <f aca="false">IF(AND('Hire Analysis'!$F$7="Yes",S$3='Hire Analysis'!$F$8),'Hire Analysis'!$F$39*Assumptions!$B$62,0)</f>
        <v>0</v>
      </c>
      <c r="T20" s="35" t="n">
        <f aca="false">IF(AND('Hire Analysis'!$F$7="Yes",T$3='Hire Analysis'!$F$8),'Hire Analysis'!$F$39*Assumptions!$B$62,0)</f>
        <v>0</v>
      </c>
      <c r="U20" s="35" t="n">
        <f aca="false">IF(AND('Hire Analysis'!$F$7="Yes",U$3='Hire Analysis'!$F$8),'Hire Analysis'!$F$39*Assumptions!$B$62,0)</f>
        <v>0</v>
      </c>
      <c r="V20" s="35" t="n">
        <f aca="false">IF(AND('Hire Analysis'!$F$7="Yes",V$3='Hire Analysis'!$F$8),'Hire Analysis'!$F$39*Assumptions!$B$62,0)</f>
        <v>0</v>
      </c>
      <c r="W20" s="35" t="n">
        <f aca="false">IF(AND('Hire Analysis'!$F$7="Yes",W$3='Hire Analysis'!$F$8),'Hire Analysis'!$F$39*Assumptions!$B$62,0)</f>
        <v>0</v>
      </c>
      <c r="X20" s="35" t="n">
        <f aca="false">IF(AND('Hire Analysis'!$F$7="Yes",X$3='Hire Analysis'!$F$8),'Hire Analysis'!$F$39*Assumptions!$B$62,0)</f>
        <v>0</v>
      </c>
      <c r="Y20" s="35" t="n">
        <f aca="false">IF(AND('Hire Analysis'!$F$7="Yes",Y$3='Hire Analysis'!$F$8),'Hire Analysis'!$F$39*Assumptions!$B$62,0)</f>
        <v>0</v>
      </c>
      <c r="Z20" s="35" t="n">
        <f aca="false">IF(AND('Hire Analysis'!$F$7="Yes",Z$3='Hire Analysis'!$F$8),'Hire Analysis'!$F$39*Assumptions!$B$62,0)</f>
        <v>0</v>
      </c>
    </row>
    <row r="21" customFormat="false" ht="15" hidden="false" customHeight="false" outlineLevel="0" collapsed="false">
      <c r="A21" s="11" t="s">
        <v>367</v>
      </c>
      <c r="C21" s="35" t="n">
        <f aca="false">IF(AND('Hire Analysis'!$F$7="Yes",C$3&gt;='Hire Analysis'!$F$8),'Hire Analysis'!$F$49/12*MIN(1,(C$3-'Hire Analysis'!$F$8+1)/MAX(1,'Hire Analysis'!$F$50))*Assumptions!$B$61,0)</f>
        <v>0</v>
      </c>
      <c r="D21" s="35" t="n">
        <f aca="false">IF(AND('Hire Analysis'!$F$7="Yes",D$3&gt;='Hire Analysis'!$F$8),'Hire Analysis'!$F$49/12*MIN(1,(D$3-'Hire Analysis'!$F$8+1)/MAX(1,'Hire Analysis'!$F$50))*Assumptions!$B$61,0)</f>
        <v>0</v>
      </c>
      <c r="E21" s="35" t="n">
        <f aca="false">IF(AND('Hire Analysis'!$F$7="Yes",E$3&gt;='Hire Analysis'!$F$8),'Hire Analysis'!$F$49/12*MIN(1,(E$3-'Hire Analysis'!$F$8+1)/MAX(1,'Hire Analysis'!$F$50))*Assumptions!$B$61,0)</f>
        <v>0</v>
      </c>
      <c r="F21" s="35" t="n">
        <f aca="false">IF(AND('Hire Analysis'!$F$7="Yes",F$3&gt;='Hire Analysis'!$F$8),'Hire Analysis'!$F$49/12*MIN(1,(F$3-'Hire Analysis'!$F$8+1)/MAX(1,'Hire Analysis'!$F$50))*Assumptions!$B$61,0)</f>
        <v>0</v>
      </c>
      <c r="G21" s="35" t="n">
        <f aca="false">IF(AND('Hire Analysis'!$F$7="Yes",G$3&gt;='Hire Analysis'!$F$8),'Hire Analysis'!$F$49/12*MIN(1,(G$3-'Hire Analysis'!$F$8+1)/MAX(1,'Hire Analysis'!$F$50))*Assumptions!$B$61,0)</f>
        <v>0</v>
      </c>
      <c r="H21" s="35" t="n">
        <f aca="false">IF(AND('Hire Analysis'!$F$7="Yes",H$3&gt;='Hire Analysis'!$F$8),'Hire Analysis'!$F$49/12*MIN(1,(H$3-'Hire Analysis'!$F$8+1)/MAX(1,'Hire Analysis'!$F$50))*Assumptions!$B$61,0)</f>
        <v>0</v>
      </c>
      <c r="I21" s="35" t="n">
        <f aca="false">IF(AND('Hire Analysis'!$F$7="Yes",I$3&gt;='Hire Analysis'!$F$8),'Hire Analysis'!$F$49/12*MIN(1,(I$3-'Hire Analysis'!$F$8+1)/MAX(1,'Hire Analysis'!$F$50))*Assumptions!$B$61,0)</f>
        <v>0</v>
      </c>
      <c r="J21" s="35" t="n">
        <f aca="false">IF(AND('Hire Analysis'!$F$7="Yes",J$3&gt;='Hire Analysis'!$F$8),'Hire Analysis'!$F$49/12*MIN(1,(J$3-'Hire Analysis'!$F$8+1)/MAX(1,'Hire Analysis'!$F$50))*Assumptions!$B$61,0)</f>
        <v>0</v>
      </c>
      <c r="K21" s="35" t="n">
        <f aca="false">IF(AND('Hire Analysis'!$F$7="Yes",K$3&gt;='Hire Analysis'!$F$8),'Hire Analysis'!$F$49/12*MIN(1,(K$3-'Hire Analysis'!$F$8+1)/MAX(1,'Hire Analysis'!$F$50))*Assumptions!$B$61,0)</f>
        <v>0</v>
      </c>
      <c r="L21" s="35" t="n">
        <f aca="false">IF(AND('Hire Analysis'!$F$7="Yes",L$3&gt;='Hire Analysis'!$F$8),'Hire Analysis'!$F$49/12*MIN(1,(L$3-'Hire Analysis'!$F$8+1)/MAX(1,'Hire Analysis'!$F$50))*Assumptions!$B$61,0)</f>
        <v>0</v>
      </c>
      <c r="M21" s="35" t="n">
        <f aca="false">IF(AND('Hire Analysis'!$F$7="Yes",M$3&gt;='Hire Analysis'!$F$8),'Hire Analysis'!$F$49/12*MIN(1,(M$3-'Hire Analysis'!$F$8+1)/MAX(1,'Hire Analysis'!$F$50))*Assumptions!$B$61,0)</f>
        <v>0</v>
      </c>
      <c r="N21" s="35" t="n">
        <f aca="false">IF(AND('Hire Analysis'!$F$7="Yes",N$3&gt;='Hire Analysis'!$F$8),'Hire Analysis'!$F$49/12*MIN(1,(N$3-'Hire Analysis'!$F$8+1)/MAX(1,'Hire Analysis'!$F$50))*Assumptions!$B$61,0)</f>
        <v>0</v>
      </c>
      <c r="O21" s="35" t="n">
        <f aca="false">IF(AND('Hire Analysis'!$F$7="Yes",O$3&gt;='Hire Analysis'!$F$8),'Hire Analysis'!$F$49/12*MIN(1,(O$3-'Hire Analysis'!$F$8+1)/MAX(1,'Hire Analysis'!$F$50))*Assumptions!$B$61,0)</f>
        <v>0</v>
      </c>
      <c r="P21" s="35" t="n">
        <f aca="false">IF(AND('Hire Analysis'!$F$7="Yes",P$3&gt;='Hire Analysis'!$F$8),'Hire Analysis'!$F$49/12*MIN(1,(P$3-'Hire Analysis'!$F$8+1)/MAX(1,'Hire Analysis'!$F$50))*Assumptions!$B$61,0)</f>
        <v>0</v>
      </c>
      <c r="Q21" s="35" t="n">
        <f aca="false">IF(AND('Hire Analysis'!$F$7="Yes",Q$3&gt;='Hire Analysis'!$F$8),'Hire Analysis'!$F$49/12*MIN(1,(Q$3-'Hire Analysis'!$F$8+1)/MAX(1,'Hire Analysis'!$F$50))*Assumptions!$B$61,0)</f>
        <v>0</v>
      </c>
      <c r="R21" s="35" t="n">
        <f aca="false">IF(AND('Hire Analysis'!$F$7="Yes",R$3&gt;='Hire Analysis'!$F$8),'Hire Analysis'!$F$49/12*MIN(1,(R$3-'Hire Analysis'!$F$8+1)/MAX(1,'Hire Analysis'!$F$50))*Assumptions!$B$61,0)</f>
        <v>0</v>
      </c>
      <c r="S21" s="35" t="n">
        <f aca="false">IF(AND('Hire Analysis'!$F$7="Yes",S$3&gt;='Hire Analysis'!$F$8),'Hire Analysis'!$F$49/12*MIN(1,(S$3-'Hire Analysis'!$F$8+1)/MAX(1,'Hire Analysis'!$F$50))*Assumptions!$B$61,0)</f>
        <v>0</v>
      </c>
      <c r="T21" s="35" t="n">
        <f aca="false">IF(AND('Hire Analysis'!$F$7="Yes",T$3&gt;='Hire Analysis'!$F$8),'Hire Analysis'!$F$49/12*MIN(1,(T$3-'Hire Analysis'!$F$8+1)/MAX(1,'Hire Analysis'!$F$50))*Assumptions!$B$61,0)</f>
        <v>0</v>
      </c>
      <c r="U21" s="35" t="n">
        <f aca="false">IF(AND('Hire Analysis'!$F$7="Yes",U$3&gt;='Hire Analysis'!$F$8),'Hire Analysis'!$F$49/12*MIN(1,(U$3-'Hire Analysis'!$F$8+1)/MAX(1,'Hire Analysis'!$F$50))*Assumptions!$B$61,0)</f>
        <v>0</v>
      </c>
      <c r="V21" s="35" t="n">
        <f aca="false">IF(AND('Hire Analysis'!$F$7="Yes",V$3&gt;='Hire Analysis'!$F$8),'Hire Analysis'!$F$49/12*MIN(1,(V$3-'Hire Analysis'!$F$8+1)/MAX(1,'Hire Analysis'!$F$50))*Assumptions!$B$61,0)</f>
        <v>0</v>
      </c>
      <c r="W21" s="35" t="n">
        <f aca="false">IF(AND('Hire Analysis'!$F$7="Yes",W$3&gt;='Hire Analysis'!$F$8),'Hire Analysis'!$F$49/12*MIN(1,(W$3-'Hire Analysis'!$F$8+1)/MAX(1,'Hire Analysis'!$F$50))*Assumptions!$B$61,0)</f>
        <v>0</v>
      </c>
      <c r="X21" s="35" t="n">
        <f aca="false">IF(AND('Hire Analysis'!$F$7="Yes",X$3&gt;='Hire Analysis'!$F$8),'Hire Analysis'!$F$49/12*MIN(1,(X$3-'Hire Analysis'!$F$8+1)/MAX(1,'Hire Analysis'!$F$50))*Assumptions!$B$61,0)</f>
        <v>0</v>
      </c>
      <c r="Y21" s="35" t="n">
        <f aca="false">IF(AND('Hire Analysis'!$F$7="Yes",Y$3&gt;='Hire Analysis'!$F$8),'Hire Analysis'!$F$49/12*MIN(1,(Y$3-'Hire Analysis'!$F$8+1)/MAX(1,'Hire Analysis'!$F$50))*Assumptions!$B$61,0)</f>
        <v>0</v>
      </c>
      <c r="Z21" s="35" t="n">
        <f aca="false">IF(AND('Hire Analysis'!$F$7="Yes",Z$3&gt;='Hire Analysis'!$F$8),'Hire Analysis'!$F$49/12*MIN(1,(Z$3-'Hire Analysis'!$F$8+1)/MAX(1,'Hire Analysis'!$F$50))*Assumptions!$B$61,0)</f>
        <v>0</v>
      </c>
    </row>
    <row r="22" customFormat="false" ht="15" hidden="false" customHeight="false" outlineLevel="0" collapsed="false">
      <c r="A22" s="36" t="s">
        <v>368</v>
      </c>
      <c r="C22" s="37" t="n">
        <f aca="false">C21-C19-C20</f>
        <v>0</v>
      </c>
      <c r="D22" s="37" t="n">
        <f aca="false">D21-D19-D20</f>
        <v>0</v>
      </c>
      <c r="E22" s="37" t="n">
        <f aca="false">E21-E19-E20</f>
        <v>0</v>
      </c>
      <c r="F22" s="37" t="n">
        <f aca="false">F21-F19-F20</f>
        <v>0</v>
      </c>
      <c r="G22" s="37" t="n">
        <f aca="false">G21-G19-G20</f>
        <v>0</v>
      </c>
      <c r="H22" s="37" t="n">
        <f aca="false">H21-H19-H20</f>
        <v>0</v>
      </c>
      <c r="I22" s="37" t="n">
        <f aca="false">I21-I19-I20</f>
        <v>0</v>
      </c>
      <c r="J22" s="37" t="n">
        <f aca="false">J21-J19-J20</f>
        <v>0</v>
      </c>
      <c r="K22" s="37" t="n">
        <f aca="false">K21-K19-K20</f>
        <v>0</v>
      </c>
      <c r="L22" s="37" t="n">
        <f aca="false">L21-L19-L20</f>
        <v>0</v>
      </c>
      <c r="M22" s="37" t="n">
        <f aca="false">M21-M19-M20</f>
        <v>0</v>
      </c>
      <c r="N22" s="37" t="n">
        <f aca="false">N21-N19-N20</f>
        <v>0</v>
      </c>
      <c r="O22" s="37" t="n">
        <f aca="false">O21-O19-O20</f>
        <v>0</v>
      </c>
      <c r="P22" s="37" t="n">
        <f aca="false">P21-P19-P20</f>
        <v>0</v>
      </c>
      <c r="Q22" s="37" t="n">
        <f aca="false">Q21-Q19-Q20</f>
        <v>0</v>
      </c>
      <c r="R22" s="37" t="n">
        <f aca="false">R21-R19-R20</f>
        <v>0</v>
      </c>
      <c r="S22" s="37" t="n">
        <f aca="false">S21-S19-S20</f>
        <v>0</v>
      </c>
      <c r="T22" s="37" t="n">
        <f aca="false">T21-T19-T20</f>
        <v>0</v>
      </c>
      <c r="U22" s="37" t="n">
        <f aca="false">U21-U19-U20</f>
        <v>0</v>
      </c>
      <c r="V22" s="37" t="n">
        <f aca="false">V21-V19-V20</f>
        <v>0</v>
      </c>
      <c r="W22" s="37" t="n">
        <f aca="false">W21-W19-W20</f>
        <v>0</v>
      </c>
      <c r="X22" s="37" t="n">
        <f aca="false">X21-X19-X20</f>
        <v>0</v>
      </c>
      <c r="Y22" s="37" t="n">
        <f aca="false">Y21-Y19-Y20</f>
        <v>0</v>
      </c>
      <c r="Z22" s="37" t="n">
        <f aca="false">Z21-Z19-Z20</f>
        <v>0</v>
      </c>
    </row>
    <row r="23" customFormat="false" ht="15" hidden="false" customHeight="false" outlineLevel="0" collapsed="false">
      <c r="A23" s="11" t="s">
        <v>369</v>
      </c>
      <c r="C23" s="35" t="n">
        <f aca="false">IF(AND('Hire Analysis'!$G$7="Yes",C$3&gt;='Hire Analysis'!$G$8),'Hire Analysis'!$G$31*Assumptions!$B$62,0)</f>
        <v>0</v>
      </c>
      <c r="D23" s="35" t="n">
        <f aca="false">IF(AND('Hire Analysis'!$G$7="Yes",D$3&gt;='Hire Analysis'!$G$8),'Hire Analysis'!$G$31*Assumptions!$B$62,0)</f>
        <v>0</v>
      </c>
      <c r="E23" s="35" t="n">
        <f aca="false">IF(AND('Hire Analysis'!$G$7="Yes",E$3&gt;='Hire Analysis'!$G$8),'Hire Analysis'!$G$31*Assumptions!$B$62,0)</f>
        <v>0</v>
      </c>
      <c r="F23" s="35" t="n">
        <f aca="false">IF(AND('Hire Analysis'!$G$7="Yes",F$3&gt;='Hire Analysis'!$G$8),'Hire Analysis'!$G$31*Assumptions!$B$62,0)</f>
        <v>0</v>
      </c>
      <c r="G23" s="35" t="n">
        <f aca="false">IF(AND('Hire Analysis'!$G$7="Yes",G$3&gt;='Hire Analysis'!$G$8),'Hire Analysis'!$G$31*Assumptions!$B$62,0)</f>
        <v>0</v>
      </c>
      <c r="H23" s="35" t="n">
        <f aca="false">IF(AND('Hire Analysis'!$G$7="Yes",H$3&gt;='Hire Analysis'!$G$8),'Hire Analysis'!$G$31*Assumptions!$B$62,0)</f>
        <v>0</v>
      </c>
      <c r="I23" s="35" t="n">
        <f aca="false">IF(AND('Hire Analysis'!$G$7="Yes",I$3&gt;='Hire Analysis'!$G$8),'Hire Analysis'!$G$31*Assumptions!$B$62,0)</f>
        <v>0</v>
      </c>
      <c r="J23" s="35" t="n">
        <f aca="false">IF(AND('Hire Analysis'!$G$7="Yes",J$3&gt;='Hire Analysis'!$G$8),'Hire Analysis'!$G$31*Assumptions!$B$62,0)</f>
        <v>0</v>
      </c>
      <c r="K23" s="35" t="n">
        <f aca="false">IF(AND('Hire Analysis'!$G$7="Yes",K$3&gt;='Hire Analysis'!$G$8),'Hire Analysis'!$G$31*Assumptions!$B$62,0)</f>
        <v>0</v>
      </c>
      <c r="L23" s="35" t="n">
        <f aca="false">IF(AND('Hire Analysis'!$G$7="Yes",L$3&gt;='Hire Analysis'!$G$8),'Hire Analysis'!$G$31*Assumptions!$B$62,0)</f>
        <v>0</v>
      </c>
      <c r="M23" s="35" t="n">
        <f aca="false">IF(AND('Hire Analysis'!$G$7="Yes",M$3&gt;='Hire Analysis'!$G$8),'Hire Analysis'!$G$31*Assumptions!$B$62,0)</f>
        <v>0</v>
      </c>
      <c r="N23" s="35" t="n">
        <f aca="false">IF(AND('Hire Analysis'!$G$7="Yes",N$3&gt;='Hire Analysis'!$G$8),'Hire Analysis'!$G$31*Assumptions!$B$62,0)</f>
        <v>0</v>
      </c>
      <c r="O23" s="35" t="n">
        <f aca="false">IF(AND('Hire Analysis'!$G$7="Yes",O$3&gt;='Hire Analysis'!$G$8),'Hire Analysis'!$G$31*Assumptions!$B$62,0)</f>
        <v>0</v>
      </c>
      <c r="P23" s="35" t="n">
        <f aca="false">IF(AND('Hire Analysis'!$G$7="Yes",P$3&gt;='Hire Analysis'!$G$8),'Hire Analysis'!$G$31*Assumptions!$B$62,0)</f>
        <v>0</v>
      </c>
      <c r="Q23" s="35" t="n">
        <f aca="false">IF(AND('Hire Analysis'!$G$7="Yes",Q$3&gt;='Hire Analysis'!$G$8),'Hire Analysis'!$G$31*Assumptions!$B$62,0)</f>
        <v>0</v>
      </c>
      <c r="R23" s="35" t="n">
        <f aca="false">IF(AND('Hire Analysis'!$G$7="Yes",R$3&gt;='Hire Analysis'!$G$8),'Hire Analysis'!$G$31*Assumptions!$B$62,0)</f>
        <v>0</v>
      </c>
      <c r="S23" s="35" t="n">
        <f aca="false">IF(AND('Hire Analysis'!$G$7="Yes",S$3&gt;='Hire Analysis'!$G$8),'Hire Analysis'!$G$31*Assumptions!$B$62,0)</f>
        <v>0</v>
      </c>
      <c r="T23" s="35" t="n">
        <f aca="false">IF(AND('Hire Analysis'!$G$7="Yes",T$3&gt;='Hire Analysis'!$G$8),'Hire Analysis'!$G$31*Assumptions!$B$62,0)</f>
        <v>0</v>
      </c>
      <c r="U23" s="35" t="n">
        <f aca="false">IF(AND('Hire Analysis'!$G$7="Yes",U$3&gt;='Hire Analysis'!$G$8),'Hire Analysis'!$G$31*Assumptions!$B$62,0)</f>
        <v>0</v>
      </c>
      <c r="V23" s="35" t="n">
        <f aca="false">IF(AND('Hire Analysis'!$G$7="Yes",V$3&gt;='Hire Analysis'!$G$8),'Hire Analysis'!$G$31*Assumptions!$B$62,0)</f>
        <v>0</v>
      </c>
      <c r="W23" s="35" t="n">
        <f aca="false">IF(AND('Hire Analysis'!$G$7="Yes",W$3&gt;='Hire Analysis'!$G$8),'Hire Analysis'!$G$31*Assumptions!$B$62,0)</f>
        <v>0</v>
      </c>
      <c r="X23" s="35" t="n">
        <f aca="false">IF(AND('Hire Analysis'!$G$7="Yes",X$3&gt;='Hire Analysis'!$G$8),'Hire Analysis'!$G$31*Assumptions!$B$62,0)</f>
        <v>0</v>
      </c>
      <c r="Y23" s="35" t="n">
        <f aca="false">IF(AND('Hire Analysis'!$G$7="Yes",Y$3&gt;='Hire Analysis'!$G$8),'Hire Analysis'!$G$31*Assumptions!$B$62,0)</f>
        <v>0</v>
      </c>
      <c r="Z23" s="35" t="n">
        <f aca="false">IF(AND('Hire Analysis'!$G$7="Yes",Z$3&gt;='Hire Analysis'!$G$8),'Hire Analysis'!$G$31*Assumptions!$B$62,0)</f>
        <v>0</v>
      </c>
    </row>
    <row r="24" customFormat="false" ht="15" hidden="false" customHeight="false" outlineLevel="0" collapsed="false">
      <c r="A24" s="11" t="s">
        <v>370</v>
      </c>
      <c r="C24" s="35" t="n">
        <f aca="false">IF(AND('Hire Analysis'!$G$7="Yes",C$3='Hire Analysis'!$G$8),'Hire Analysis'!$G$39*Assumptions!$B$62,0)</f>
        <v>0</v>
      </c>
      <c r="D24" s="35" t="n">
        <f aca="false">IF(AND('Hire Analysis'!$G$7="Yes",D$3='Hire Analysis'!$G$8),'Hire Analysis'!$G$39*Assumptions!$B$62,0)</f>
        <v>0</v>
      </c>
      <c r="E24" s="35" t="n">
        <f aca="false">IF(AND('Hire Analysis'!$G$7="Yes",E$3='Hire Analysis'!$G$8),'Hire Analysis'!$G$39*Assumptions!$B$62,0)</f>
        <v>0</v>
      </c>
      <c r="F24" s="35" t="n">
        <f aca="false">IF(AND('Hire Analysis'!$G$7="Yes",F$3='Hire Analysis'!$G$8),'Hire Analysis'!$G$39*Assumptions!$B$62,0)</f>
        <v>0</v>
      </c>
      <c r="G24" s="35" t="n">
        <f aca="false">IF(AND('Hire Analysis'!$G$7="Yes",G$3='Hire Analysis'!$G$8),'Hire Analysis'!$G$39*Assumptions!$B$62,0)</f>
        <v>0</v>
      </c>
      <c r="H24" s="35" t="n">
        <f aca="false">IF(AND('Hire Analysis'!$G$7="Yes",H$3='Hire Analysis'!$G$8),'Hire Analysis'!$G$39*Assumptions!$B$62,0)</f>
        <v>0</v>
      </c>
      <c r="I24" s="35" t="n">
        <f aca="false">IF(AND('Hire Analysis'!$G$7="Yes",I$3='Hire Analysis'!$G$8),'Hire Analysis'!$G$39*Assumptions!$B$62,0)</f>
        <v>0</v>
      </c>
      <c r="J24" s="35" t="n">
        <f aca="false">IF(AND('Hire Analysis'!$G$7="Yes",J$3='Hire Analysis'!$G$8),'Hire Analysis'!$G$39*Assumptions!$B$62,0)</f>
        <v>0</v>
      </c>
      <c r="K24" s="35" t="n">
        <f aca="false">IF(AND('Hire Analysis'!$G$7="Yes",K$3='Hire Analysis'!$G$8),'Hire Analysis'!$G$39*Assumptions!$B$62,0)</f>
        <v>0</v>
      </c>
      <c r="L24" s="35" t="n">
        <f aca="false">IF(AND('Hire Analysis'!$G$7="Yes",L$3='Hire Analysis'!$G$8),'Hire Analysis'!$G$39*Assumptions!$B$62,0)</f>
        <v>0</v>
      </c>
      <c r="M24" s="35" t="n">
        <f aca="false">IF(AND('Hire Analysis'!$G$7="Yes",M$3='Hire Analysis'!$G$8),'Hire Analysis'!$G$39*Assumptions!$B$62,0)</f>
        <v>0</v>
      </c>
      <c r="N24" s="35" t="n">
        <f aca="false">IF(AND('Hire Analysis'!$G$7="Yes",N$3='Hire Analysis'!$G$8),'Hire Analysis'!$G$39*Assumptions!$B$62,0)</f>
        <v>0</v>
      </c>
      <c r="O24" s="35" t="n">
        <f aca="false">IF(AND('Hire Analysis'!$G$7="Yes",O$3='Hire Analysis'!$G$8),'Hire Analysis'!$G$39*Assumptions!$B$62,0)</f>
        <v>0</v>
      </c>
      <c r="P24" s="35" t="n">
        <f aca="false">IF(AND('Hire Analysis'!$G$7="Yes",P$3='Hire Analysis'!$G$8),'Hire Analysis'!$G$39*Assumptions!$B$62,0)</f>
        <v>0</v>
      </c>
      <c r="Q24" s="35" t="n">
        <f aca="false">IF(AND('Hire Analysis'!$G$7="Yes",Q$3='Hire Analysis'!$G$8),'Hire Analysis'!$G$39*Assumptions!$B$62,0)</f>
        <v>0</v>
      </c>
      <c r="R24" s="35" t="n">
        <f aca="false">IF(AND('Hire Analysis'!$G$7="Yes",R$3='Hire Analysis'!$G$8),'Hire Analysis'!$G$39*Assumptions!$B$62,0)</f>
        <v>0</v>
      </c>
      <c r="S24" s="35" t="n">
        <f aca="false">IF(AND('Hire Analysis'!$G$7="Yes",S$3='Hire Analysis'!$G$8),'Hire Analysis'!$G$39*Assumptions!$B$62,0)</f>
        <v>0</v>
      </c>
      <c r="T24" s="35" t="n">
        <f aca="false">IF(AND('Hire Analysis'!$G$7="Yes",T$3='Hire Analysis'!$G$8),'Hire Analysis'!$G$39*Assumptions!$B$62,0)</f>
        <v>0</v>
      </c>
      <c r="U24" s="35" t="n">
        <f aca="false">IF(AND('Hire Analysis'!$G$7="Yes",U$3='Hire Analysis'!$G$8),'Hire Analysis'!$G$39*Assumptions!$B$62,0)</f>
        <v>0</v>
      </c>
      <c r="V24" s="35" t="n">
        <f aca="false">IF(AND('Hire Analysis'!$G$7="Yes",V$3='Hire Analysis'!$G$8),'Hire Analysis'!$G$39*Assumptions!$B$62,0)</f>
        <v>0</v>
      </c>
      <c r="W24" s="35" t="n">
        <f aca="false">IF(AND('Hire Analysis'!$G$7="Yes",W$3='Hire Analysis'!$G$8),'Hire Analysis'!$G$39*Assumptions!$B$62,0)</f>
        <v>0</v>
      </c>
      <c r="X24" s="35" t="n">
        <f aca="false">IF(AND('Hire Analysis'!$G$7="Yes",X$3='Hire Analysis'!$G$8),'Hire Analysis'!$G$39*Assumptions!$B$62,0)</f>
        <v>0</v>
      </c>
      <c r="Y24" s="35" t="n">
        <f aca="false">IF(AND('Hire Analysis'!$G$7="Yes",Y$3='Hire Analysis'!$G$8),'Hire Analysis'!$G$39*Assumptions!$B$62,0)</f>
        <v>0</v>
      </c>
      <c r="Z24" s="35" t="n">
        <f aca="false">IF(AND('Hire Analysis'!$G$7="Yes",Z$3='Hire Analysis'!$G$8),'Hire Analysis'!$G$39*Assumptions!$B$62,0)</f>
        <v>0</v>
      </c>
    </row>
    <row r="25" customFormat="false" ht="15" hidden="false" customHeight="false" outlineLevel="0" collapsed="false">
      <c r="A25" s="11" t="s">
        <v>371</v>
      </c>
      <c r="C25" s="35" t="n">
        <f aca="false">IF(AND('Hire Analysis'!$G$7="Yes",C$3&gt;='Hire Analysis'!$G$8),'Hire Analysis'!$G$49/12*MIN(1,(C$3-'Hire Analysis'!$G$8+1)/MAX(1,'Hire Analysis'!$G$50))*Assumptions!$B$61,0)</f>
        <v>0</v>
      </c>
      <c r="D25" s="35" t="n">
        <f aca="false">IF(AND('Hire Analysis'!$G$7="Yes",D$3&gt;='Hire Analysis'!$G$8),'Hire Analysis'!$G$49/12*MIN(1,(D$3-'Hire Analysis'!$G$8+1)/MAX(1,'Hire Analysis'!$G$50))*Assumptions!$B$61,0)</f>
        <v>0</v>
      </c>
      <c r="E25" s="35" t="n">
        <f aca="false">IF(AND('Hire Analysis'!$G$7="Yes",E$3&gt;='Hire Analysis'!$G$8),'Hire Analysis'!$G$49/12*MIN(1,(E$3-'Hire Analysis'!$G$8+1)/MAX(1,'Hire Analysis'!$G$50))*Assumptions!$B$61,0)</f>
        <v>0</v>
      </c>
      <c r="F25" s="35" t="n">
        <f aca="false">IF(AND('Hire Analysis'!$G$7="Yes",F$3&gt;='Hire Analysis'!$G$8),'Hire Analysis'!$G$49/12*MIN(1,(F$3-'Hire Analysis'!$G$8+1)/MAX(1,'Hire Analysis'!$G$50))*Assumptions!$B$61,0)</f>
        <v>0</v>
      </c>
      <c r="G25" s="35" t="n">
        <f aca="false">IF(AND('Hire Analysis'!$G$7="Yes",G$3&gt;='Hire Analysis'!$G$8),'Hire Analysis'!$G$49/12*MIN(1,(G$3-'Hire Analysis'!$G$8+1)/MAX(1,'Hire Analysis'!$G$50))*Assumptions!$B$61,0)</f>
        <v>0</v>
      </c>
      <c r="H25" s="35" t="n">
        <f aca="false">IF(AND('Hire Analysis'!$G$7="Yes",H$3&gt;='Hire Analysis'!$G$8),'Hire Analysis'!$G$49/12*MIN(1,(H$3-'Hire Analysis'!$G$8+1)/MAX(1,'Hire Analysis'!$G$50))*Assumptions!$B$61,0)</f>
        <v>0</v>
      </c>
      <c r="I25" s="35" t="n">
        <f aca="false">IF(AND('Hire Analysis'!$G$7="Yes",I$3&gt;='Hire Analysis'!$G$8),'Hire Analysis'!$G$49/12*MIN(1,(I$3-'Hire Analysis'!$G$8+1)/MAX(1,'Hire Analysis'!$G$50))*Assumptions!$B$61,0)</f>
        <v>0</v>
      </c>
      <c r="J25" s="35" t="n">
        <f aca="false">IF(AND('Hire Analysis'!$G$7="Yes",J$3&gt;='Hire Analysis'!$G$8),'Hire Analysis'!$G$49/12*MIN(1,(J$3-'Hire Analysis'!$G$8+1)/MAX(1,'Hire Analysis'!$G$50))*Assumptions!$B$61,0)</f>
        <v>0</v>
      </c>
      <c r="K25" s="35" t="n">
        <f aca="false">IF(AND('Hire Analysis'!$G$7="Yes",K$3&gt;='Hire Analysis'!$G$8),'Hire Analysis'!$G$49/12*MIN(1,(K$3-'Hire Analysis'!$G$8+1)/MAX(1,'Hire Analysis'!$G$50))*Assumptions!$B$61,0)</f>
        <v>0</v>
      </c>
      <c r="L25" s="35" t="n">
        <f aca="false">IF(AND('Hire Analysis'!$G$7="Yes",L$3&gt;='Hire Analysis'!$G$8),'Hire Analysis'!$G$49/12*MIN(1,(L$3-'Hire Analysis'!$G$8+1)/MAX(1,'Hire Analysis'!$G$50))*Assumptions!$B$61,0)</f>
        <v>0</v>
      </c>
      <c r="M25" s="35" t="n">
        <f aca="false">IF(AND('Hire Analysis'!$G$7="Yes",M$3&gt;='Hire Analysis'!$G$8),'Hire Analysis'!$G$49/12*MIN(1,(M$3-'Hire Analysis'!$G$8+1)/MAX(1,'Hire Analysis'!$G$50))*Assumptions!$B$61,0)</f>
        <v>0</v>
      </c>
      <c r="N25" s="35" t="n">
        <f aca="false">IF(AND('Hire Analysis'!$G$7="Yes",N$3&gt;='Hire Analysis'!$G$8),'Hire Analysis'!$G$49/12*MIN(1,(N$3-'Hire Analysis'!$G$8+1)/MAX(1,'Hire Analysis'!$G$50))*Assumptions!$B$61,0)</f>
        <v>0</v>
      </c>
      <c r="O25" s="35" t="n">
        <f aca="false">IF(AND('Hire Analysis'!$G$7="Yes",O$3&gt;='Hire Analysis'!$G$8),'Hire Analysis'!$G$49/12*MIN(1,(O$3-'Hire Analysis'!$G$8+1)/MAX(1,'Hire Analysis'!$G$50))*Assumptions!$B$61,0)</f>
        <v>0</v>
      </c>
      <c r="P25" s="35" t="n">
        <f aca="false">IF(AND('Hire Analysis'!$G$7="Yes",P$3&gt;='Hire Analysis'!$G$8),'Hire Analysis'!$G$49/12*MIN(1,(P$3-'Hire Analysis'!$G$8+1)/MAX(1,'Hire Analysis'!$G$50))*Assumptions!$B$61,0)</f>
        <v>0</v>
      </c>
      <c r="Q25" s="35" t="n">
        <f aca="false">IF(AND('Hire Analysis'!$G$7="Yes",Q$3&gt;='Hire Analysis'!$G$8),'Hire Analysis'!$G$49/12*MIN(1,(Q$3-'Hire Analysis'!$G$8+1)/MAX(1,'Hire Analysis'!$G$50))*Assumptions!$B$61,0)</f>
        <v>0</v>
      </c>
      <c r="R25" s="35" t="n">
        <f aca="false">IF(AND('Hire Analysis'!$G$7="Yes",R$3&gt;='Hire Analysis'!$G$8),'Hire Analysis'!$G$49/12*MIN(1,(R$3-'Hire Analysis'!$G$8+1)/MAX(1,'Hire Analysis'!$G$50))*Assumptions!$B$61,0)</f>
        <v>0</v>
      </c>
      <c r="S25" s="35" t="n">
        <f aca="false">IF(AND('Hire Analysis'!$G$7="Yes",S$3&gt;='Hire Analysis'!$G$8),'Hire Analysis'!$G$49/12*MIN(1,(S$3-'Hire Analysis'!$G$8+1)/MAX(1,'Hire Analysis'!$G$50))*Assumptions!$B$61,0)</f>
        <v>0</v>
      </c>
      <c r="T25" s="35" t="n">
        <f aca="false">IF(AND('Hire Analysis'!$G$7="Yes",T$3&gt;='Hire Analysis'!$G$8),'Hire Analysis'!$G$49/12*MIN(1,(T$3-'Hire Analysis'!$G$8+1)/MAX(1,'Hire Analysis'!$G$50))*Assumptions!$B$61,0)</f>
        <v>0</v>
      </c>
      <c r="U25" s="35" t="n">
        <f aca="false">IF(AND('Hire Analysis'!$G$7="Yes",U$3&gt;='Hire Analysis'!$G$8),'Hire Analysis'!$G$49/12*MIN(1,(U$3-'Hire Analysis'!$G$8+1)/MAX(1,'Hire Analysis'!$G$50))*Assumptions!$B$61,0)</f>
        <v>0</v>
      </c>
      <c r="V25" s="35" t="n">
        <f aca="false">IF(AND('Hire Analysis'!$G$7="Yes",V$3&gt;='Hire Analysis'!$G$8),'Hire Analysis'!$G$49/12*MIN(1,(V$3-'Hire Analysis'!$G$8+1)/MAX(1,'Hire Analysis'!$G$50))*Assumptions!$B$61,0)</f>
        <v>0</v>
      </c>
      <c r="W25" s="35" t="n">
        <f aca="false">IF(AND('Hire Analysis'!$G$7="Yes",W$3&gt;='Hire Analysis'!$G$8),'Hire Analysis'!$G$49/12*MIN(1,(W$3-'Hire Analysis'!$G$8+1)/MAX(1,'Hire Analysis'!$G$50))*Assumptions!$B$61,0)</f>
        <v>0</v>
      </c>
      <c r="X25" s="35" t="n">
        <f aca="false">IF(AND('Hire Analysis'!$G$7="Yes",X$3&gt;='Hire Analysis'!$G$8),'Hire Analysis'!$G$49/12*MIN(1,(X$3-'Hire Analysis'!$G$8+1)/MAX(1,'Hire Analysis'!$G$50))*Assumptions!$B$61,0)</f>
        <v>0</v>
      </c>
      <c r="Y25" s="35" t="n">
        <f aca="false">IF(AND('Hire Analysis'!$G$7="Yes",Y$3&gt;='Hire Analysis'!$G$8),'Hire Analysis'!$G$49/12*MIN(1,(Y$3-'Hire Analysis'!$G$8+1)/MAX(1,'Hire Analysis'!$G$50))*Assumptions!$B$61,0)</f>
        <v>0</v>
      </c>
      <c r="Z25" s="35" t="n">
        <f aca="false">IF(AND('Hire Analysis'!$G$7="Yes",Z$3&gt;='Hire Analysis'!$G$8),'Hire Analysis'!$G$49/12*MIN(1,(Z$3-'Hire Analysis'!$G$8+1)/MAX(1,'Hire Analysis'!$G$50))*Assumptions!$B$61,0)</f>
        <v>0</v>
      </c>
    </row>
    <row r="26" customFormat="false" ht="15" hidden="false" customHeight="false" outlineLevel="0" collapsed="false">
      <c r="A26" s="36" t="s">
        <v>372</v>
      </c>
      <c r="C26" s="37" t="n">
        <f aca="false">C25-C23-C24</f>
        <v>0</v>
      </c>
      <c r="D26" s="37" t="n">
        <f aca="false">D25-D23-D24</f>
        <v>0</v>
      </c>
      <c r="E26" s="37" t="n">
        <f aca="false">E25-E23-E24</f>
        <v>0</v>
      </c>
      <c r="F26" s="37" t="n">
        <f aca="false">F25-F23-F24</f>
        <v>0</v>
      </c>
      <c r="G26" s="37" t="n">
        <f aca="false">G25-G23-G24</f>
        <v>0</v>
      </c>
      <c r="H26" s="37" t="n">
        <f aca="false">H25-H23-H24</f>
        <v>0</v>
      </c>
      <c r="I26" s="37" t="n">
        <f aca="false">I25-I23-I24</f>
        <v>0</v>
      </c>
      <c r="J26" s="37" t="n">
        <f aca="false">J25-J23-J24</f>
        <v>0</v>
      </c>
      <c r="K26" s="37" t="n">
        <f aca="false">K25-K23-K24</f>
        <v>0</v>
      </c>
      <c r="L26" s="37" t="n">
        <f aca="false">L25-L23-L24</f>
        <v>0</v>
      </c>
      <c r="M26" s="37" t="n">
        <f aca="false">M25-M23-M24</f>
        <v>0</v>
      </c>
      <c r="N26" s="37" t="n">
        <f aca="false">N25-N23-N24</f>
        <v>0</v>
      </c>
      <c r="O26" s="37" t="n">
        <f aca="false">O25-O23-O24</f>
        <v>0</v>
      </c>
      <c r="P26" s="37" t="n">
        <f aca="false">P25-P23-P24</f>
        <v>0</v>
      </c>
      <c r="Q26" s="37" t="n">
        <f aca="false">Q25-Q23-Q24</f>
        <v>0</v>
      </c>
      <c r="R26" s="37" t="n">
        <f aca="false">R25-R23-R24</f>
        <v>0</v>
      </c>
      <c r="S26" s="37" t="n">
        <f aca="false">S25-S23-S24</f>
        <v>0</v>
      </c>
      <c r="T26" s="37" t="n">
        <f aca="false">T25-T23-T24</f>
        <v>0</v>
      </c>
      <c r="U26" s="37" t="n">
        <f aca="false">U25-U23-U24</f>
        <v>0</v>
      </c>
      <c r="V26" s="37" t="n">
        <f aca="false">V25-V23-V24</f>
        <v>0</v>
      </c>
      <c r="W26" s="37" t="n">
        <f aca="false">W25-W23-W24</f>
        <v>0</v>
      </c>
      <c r="X26" s="37" t="n">
        <f aca="false">X25-X23-X24</f>
        <v>0</v>
      </c>
      <c r="Y26" s="37" t="n">
        <f aca="false">Y25-Y23-Y24</f>
        <v>0</v>
      </c>
      <c r="Z26" s="37" t="n">
        <f aca="false">Z25-Z23-Z24</f>
        <v>0</v>
      </c>
    </row>
    <row r="27" customFormat="false" ht="15" hidden="false" customHeight="false" outlineLevel="0" collapsed="false">
      <c r="A27" s="11" t="s">
        <v>373</v>
      </c>
      <c r="C27" s="35" t="n">
        <f aca="false">IF(AND('Hire Analysis'!$H$7="Yes",C$3&gt;='Hire Analysis'!$H$8),'Hire Analysis'!$H$31*Assumptions!$B$62,0)</f>
        <v>0</v>
      </c>
      <c r="D27" s="35" t="n">
        <f aca="false">IF(AND('Hire Analysis'!$H$7="Yes",D$3&gt;='Hire Analysis'!$H$8),'Hire Analysis'!$H$31*Assumptions!$B$62,0)</f>
        <v>0</v>
      </c>
      <c r="E27" s="35" t="n">
        <f aca="false">IF(AND('Hire Analysis'!$H$7="Yes",E$3&gt;='Hire Analysis'!$H$8),'Hire Analysis'!$H$31*Assumptions!$B$62,0)</f>
        <v>0</v>
      </c>
      <c r="F27" s="35" t="n">
        <f aca="false">IF(AND('Hire Analysis'!$H$7="Yes",F$3&gt;='Hire Analysis'!$H$8),'Hire Analysis'!$H$31*Assumptions!$B$62,0)</f>
        <v>0</v>
      </c>
      <c r="G27" s="35" t="n">
        <f aca="false">IF(AND('Hire Analysis'!$H$7="Yes",G$3&gt;='Hire Analysis'!$H$8),'Hire Analysis'!$H$31*Assumptions!$B$62,0)</f>
        <v>0</v>
      </c>
      <c r="H27" s="35" t="n">
        <f aca="false">IF(AND('Hire Analysis'!$H$7="Yes",H$3&gt;='Hire Analysis'!$H$8),'Hire Analysis'!$H$31*Assumptions!$B$62,0)</f>
        <v>0</v>
      </c>
      <c r="I27" s="35" t="n">
        <f aca="false">IF(AND('Hire Analysis'!$H$7="Yes",I$3&gt;='Hire Analysis'!$H$8),'Hire Analysis'!$H$31*Assumptions!$B$62,0)</f>
        <v>0</v>
      </c>
      <c r="J27" s="35" t="n">
        <f aca="false">IF(AND('Hire Analysis'!$H$7="Yes",J$3&gt;='Hire Analysis'!$H$8),'Hire Analysis'!$H$31*Assumptions!$B$62,0)</f>
        <v>0</v>
      </c>
      <c r="K27" s="35" t="n">
        <f aca="false">IF(AND('Hire Analysis'!$H$7="Yes",K$3&gt;='Hire Analysis'!$H$8),'Hire Analysis'!$H$31*Assumptions!$B$62,0)</f>
        <v>0</v>
      </c>
      <c r="L27" s="35" t="n">
        <f aca="false">IF(AND('Hire Analysis'!$H$7="Yes",L$3&gt;='Hire Analysis'!$H$8),'Hire Analysis'!$H$31*Assumptions!$B$62,0)</f>
        <v>0</v>
      </c>
      <c r="M27" s="35" t="n">
        <f aca="false">IF(AND('Hire Analysis'!$H$7="Yes",M$3&gt;='Hire Analysis'!$H$8),'Hire Analysis'!$H$31*Assumptions!$B$62,0)</f>
        <v>0</v>
      </c>
      <c r="N27" s="35" t="n">
        <f aca="false">IF(AND('Hire Analysis'!$H$7="Yes",N$3&gt;='Hire Analysis'!$H$8),'Hire Analysis'!$H$31*Assumptions!$B$62,0)</f>
        <v>0</v>
      </c>
      <c r="O27" s="35" t="n">
        <f aca="false">IF(AND('Hire Analysis'!$H$7="Yes",O$3&gt;='Hire Analysis'!$H$8),'Hire Analysis'!$H$31*Assumptions!$B$62,0)</f>
        <v>0</v>
      </c>
      <c r="P27" s="35" t="n">
        <f aca="false">IF(AND('Hire Analysis'!$H$7="Yes",P$3&gt;='Hire Analysis'!$H$8),'Hire Analysis'!$H$31*Assumptions!$B$62,0)</f>
        <v>0</v>
      </c>
      <c r="Q27" s="35" t="n">
        <f aca="false">IF(AND('Hire Analysis'!$H$7="Yes",Q$3&gt;='Hire Analysis'!$H$8),'Hire Analysis'!$H$31*Assumptions!$B$62,0)</f>
        <v>0</v>
      </c>
      <c r="R27" s="35" t="n">
        <f aca="false">IF(AND('Hire Analysis'!$H$7="Yes",R$3&gt;='Hire Analysis'!$H$8),'Hire Analysis'!$H$31*Assumptions!$B$62,0)</f>
        <v>0</v>
      </c>
      <c r="S27" s="35" t="n">
        <f aca="false">IF(AND('Hire Analysis'!$H$7="Yes",S$3&gt;='Hire Analysis'!$H$8),'Hire Analysis'!$H$31*Assumptions!$B$62,0)</f>
        <v>0</v>
      </c>
      <c r="T27" s="35" t="n">
        <f aca="false">IF(AND('Hire Analysis'!$H$7="Yes",T$3&gt;='Hire Analysis'!$H$8),'Hire Analysis'!$H$31*Assumptions!$B$62,0)</f>
        <v>0</v>
      </c>
      <c r="U27" s="35" t="n">
        <f aca="false">IF(AND('Hire Analysis'!$H$7="Yes",U$3&gt;='Hire Analysis'!$H$8),'Hire Analysis'!$H$31*Assumptions!$B$62,0)</f>
        <v>0</v>
      </c>
      <c r="V27" s="35" t="n">
        <f aca="false">IF(AND('Hire Analysis'!$H$7="Yes",V$3&gt;='Hire Analysis'!$H$8),'Hire Analysis'!$H$31*Assumptions!$B$62,0)</f>
        <v>0</v>
      </c>
      <c r="W27" s="35" t="n">
        <f aca="false">IF(AND('Hire Analysis'!$H$7="Yes",W$3&gt;='Hire Analysis'!$H$8),'Hire Analysis'!$H$31*Assumptions!$B$62,0)</f>
        <v>0</v>
      </c>
      <c r="X27" s="35" t="n">
        <f aca="false">IF(AND('Hire Analysis'!$H$7="Yes",X$3&gt;='Hire Analysis'!$H$8),'Hire Analysis'!$H$31*Assumptions!$B$62,0)</f>
        <v>0</v>
      </c>
      <c r="Y27" s="35" t="n">
        <f aca="false">IF(AND('Hire Analysis'!$H$7="Yes",Y$3&gt;='Hire Analysis'!$H$8),'Hire Analysis'!$H$31*Assumptions!$B$62,0)</f>
        <v>0</v>
      </c>
      <c r="Z27" s="35" t="n">
        <f aca="false">IF(AND('Hire Analysis'!$H$7="Yes",Z$3&gt;='Hire Analysis'!$H$8),'Hire Analysis'!$H$31*Assumptions!$B$62,0)</f>
        <v>0</v>
      </c>
    </row>
    <row r="28" customFormat="false" ht="15" hidden="false" customHeight="false" outlineLevel="0" collapsed="false">
      <c r="A28" s="11" t="s">
        <v>374</v>
      </c>
      <c r="C28" s="35" t="n">
        <f aca="false">IF(AND('Hire Analysis'!$H$7="Yes",C$3='Hire Analysis'!$H$8),'Hire Analysis'!$H$39*Assumptions!$B$62,0)</f>
        <v>0</v>
      </c>
      <c r="D28" s="35" t="n">
        <f aca="false">IF(AND('Hire Analysis'!$H$7="Yes",D$3='Hire Analysis'!$H$8),'Hire Analysis'!$H$39*Assumptions!$B$62,0)</f>
        <v>0</v>
      </c>
      <c r="E28" s="35" t="n">
        <f aca="false">IF(AND('Hire Analysis'!$H$7="Yes",E$3='Hire Analysis'!$H$8),'Hire Analysis'!$H$39*Assumptions!$B$62,0)</f>
        <v>0</v>
      </c>
      <c r="F28" s="35" t="n">
        <f aca="false">IF(AND('Hire Analysis'!$H$7="Yes",F$3='Hire Analysis'!$H$8),'Hire Analysis'!$H$39*Assumptions!$B$62,0)</f>
        <v>0</v>
      </c>
      <c r="G28" s="35" t="n">
        <f aca="false">IF(AND('Hire Analysis'!$H$7="Yes",G$3='Hire Analysis'!$H$8),'Hire Analysis'!$H$39*Assumptions!$B$62,0)</f>
        <v>0</v>
      </c>
      <c r="H28" s="35" t="n">
        <f aca="false">IF(AND('Hire Analysis'!$H$7="Yes",H$3='Hire Analysis'!$H$8),'Hire Analysis'!$H$39*Assumptions!$B$62,0)</f>
        <v>0</v>
      </c>
      <c r="I28" s="35" t="n">
        <f aca="false">IF(AND('Hire Analysis'!$H$7="Yes",I$3='Hire Analysis'!$H$8),'Hire Analysis'!$H$39*Assumptions!$B$62,0)</f>
        <v>0</v>
      </c>
      <c r="J28" s="35" t="n">
        <f aca="false">IF(AND('Hire Analysis'!$H$7="Yes",J$3='Hire Analysis'!$H$8),'Hire Analysis'!$H$39*Assumptions!$B$62,0)</f>
        <v>0</v>
      </c>
      <c r="K28" s="35" t="n">
        <f aca="false">IF(AND('Hire Analysis'!$H$7="Yes",K$3='Hire Analysis'!$H$8),'Hire Analysis'!$H$39*Assumptions!$B$62,0)</f>
        <v>0</v>
      </c>
      <c r="L28" s="35" t="n">
        <f aca="false">IF(AND('Hire Analysis'!$H$7="Yes",L$3='Hire Analysis'!$H$8),'Hire Analysis'!$H$39*Assumptions!$B$62,0)</f>
        <v>0</v>
      </c>
      <c r="M28" s="35" t="n">
        <f aca="false">IF(AND('Hire Analysis'!$H$7="Yes",M$3='Hire Analysis'!$H$8),'Hire Analysis'!$H$39*Assumptions!$B$62,0)</f>
        <v>0</v>
      </c>
      <c r="N28" s="35" t="n">
        <f aca="false">IF(AND('Hire Analysis'!$H$7="Yes",N$3='Hire Analysis'!$H$8),'Hire Analysis'!$H$39*Assumptions!$B$62,0)</f>
        <v>0</v>
      </c>
      <c r="O28" s="35" t="n">
        <f aca="false">IF(AND('Hire Analysis'!$H$7="Yes",O$3='Hire Analysis'!$H$8),'Hire Analysis'!$H$39*Assumptions!$B$62,0)</f>
        <v>0</v>
      </c>
      <c r="P28" s="35" t="n">
        <f aca="false">IF(AND('Hire Analysis'!$H$7="Yes",P$3='Hire Analysis'!$H$8),'Hire Analysis'!$H$39*Assumptions!$B$62,0)</f>
        <v>0</v>
      </c>
      <c r="Q28" s="35" t="n">
        <f aca="false">IF(AND('Hire Analysis'!$H$7="Yes",Q$3='Hire Analysis'!$H$8),'Hire Analysis'!$H$39*Assumptions!$B$62,0)</f>
        <v>0</v>
      </c>
      <c r="R28" s="35" t="n">
        <f aca="false">IF(AND('Hire Analysis'!$H$7="Yes",R$3='Hire Analysis'!$H$8),'Hire Analysis'!$H$39*Assumptions!$B$62,0)</f>
        <v>0</v>
      </c>
      <c r="S28" s="35" t="n">
        <f aca="false">IF(AND('Hire Analysis'!$H$7="Yes",S$3='Hire Analysis'!$H$8),'Hire Analysis'!$H$39*Assumptions!$B$62,0)</f>
        <v>0</v>
      </c>
      <c r="T28" s="35" t="n">
        <f aca="false">IF(AND('Hire Analysis'!$H$7="Yes",T$3='Hire Analysis'!$H$8),'Hire Analysis'!$H$39*Assumptions!$B$62,0)</f>
        <v>0</v>
      </c>
      <c r="U28" s="35" t="n">
        <f aca="false">IF(AND('Hire Analysis'!$H$7="Yes",U$3='Hire Analysis'!$H$8),'Hire Analysis'!$H$39*Assumptions!$B$62,0)</f>
        <v>0</v>
      </c>
      <c r="V28" s="35" t="n">
        <f aca="false">IF(AND('Hire Analysis'!$H$7="Yes",V$3='Hire Analysis'!$H$8),'Hire Analysis'!$H$39*Assumptions!$B$62,0)</f>
        <v>0</v>
      </c>
      <c r="W28" s="35" t="n">
        <f aca="false">IF(AND('Hire Analysis'!$H$7="Yes",W$3='Hire Analysis'!$H$8),'Hire Analysis'!$H$39*Assumptions!$B$62,0)</f>
        <v>0</v>
      </c>
      <c r="X28" s="35" t="n">
        <f aca="false">IF(AND('Hire Analysis'!$H$7="Yes",X$3='Hire Analysis'!$H$8),'Hire Analysis'!$H$39*Assumptions!$B$62,0)</f>
        <v>0</v>
      </c>
      <c r="Y28" s="35" t="n">
        <f aca="false">IF(AND('Hire Analysis'!$H$7="Yes",Y$3='Hire Analysis'!$H$8),'Hire Analysis'!$H$39*Assumptions!$B$62,0)</f>
        <v>0</v>
      </c>
      <c r="Z28" s="35" t="n">
        <f aca="false">IF(AND('Hire Analysis'!$H$7="Yes",Z$3='Hire Analysis'!$H$8),'Hire Analysis'!$H$39*Assumptions!$B$62,0)</f>
        <v>0</v>
      </c>
    </row>
    <row r="29" customFormat="false" ht="15" hidden="false" customHeight="false" outlineLevel="0" collapsed="false">
      <c r="A29" s="11" t="s">
        <v>375</v>
      </c>
      <c r="C29" s="35" t="n">
        <f aca="false">IF(AND('Hire Analysis'!$H$7="Yes",C$3&gt;='Hire Analysis'!$H$8),'Hire Analysis'!$H$49/12*MIN(1,(C$3-'Hire Analysis'!$H$8+1)/MAX(1,'Hire Analysis'!$H$50))*Assumptions!$B$61,0)</f>
        <v>0</v>
      </c>
      <c r="D29" s="35" t="n">
        <f aca="false">IF(AND('Hire Analysis'!$H$7="Yes",D$3&gt;='Hire Analysis'!$H$8),'Hire Analysis'!$H$49/12*MIN(1,(D$3-'Hire Analysis'!$H$8+1)/MAX(1,'Hire Analysis'!$H$50))*Assumptions!$B$61,0)</f>
        <v>0</v>
      </c>
      <c r="E29" s="35" t="n">
        <f aca="false">IF(AND('Hire Analysis'!$H$7="Yes",E$3&gt;='Hire Analysis'!$H$8),'Hire Analysis'!$H$49/12*MIN(1,(E$3-'Hire Analysis'!$H$8+1)/MAX(1,'Hire Analysis'!$H$50))*Assumptions!$B$61,0)</f>
        <v>0</v>
      </c>
      <c r="F29" s="35" t="n">
        <f aca="false">IF(AND('Hire Analysis'!$H$7="Yes",F$3&gt;='Hire Analysis'!$H$8),'Hire Analysis'!$H$49/12*MIN(1,(F$3-'Hire Analysis'!$H$8+1)/MAX(1,'Hire Analysis'!$H$50))*Assumptions!$B$61,0)</f>
        <v>0</v>
      </c>
      <c r="G29" s="35" t="n">
        <f aca="false">IF(AND('Hire Analysis'!$H$7="Yes",G$3&gt;='Hire Analysis'!$H$8),'Hire Analysis'!$H$49/12*MIN(1,(G$3-'Hire Analysis'!$H$8+1)/MAX(1,'Hire Analysis'!$H$50))*Assumptions!$B$61,0)</f>
        <v>0</v>
      </c>
      <c r="H29" s="35" t="n">
        <f aca="false">IF(AND('Hire Analysis'!$H$7="Yes",H$3&gt;='Hire Analysis'!$H$8),'Hire Analysis'!$H$49/12*MIN(1,(H$3-'Hire Analysis'!$H$8+1)/MAX(1,'Hire Analysis'!$H$50))*Assumptions!$B$61,0)</f>
        <v>0</v>
      </c>
      <c r="I29" s="35" t="n">
        <f aca="false">IF(AND('Hire Analysis'!$H$7="Yes",I$3&gt;='Hire Analysis'!$H$8),'Hire Analysis'!$H$49/12*MIN(1,(I$3-'Hire Analysis'!$H$8+1)/MAX(1,'Hire Analysis'!$H$50))*Assumptions!$B$61,0)</f>
        <v>0</v>
      </c>
      <c r="J29" s="35" t="n">
        <f aca="false">IF(AND('Hire Analysis'!$H$7="Yes",J$3&gt;='Hire Analysis'!$H$8),'Hire Analysis'!$H$49/12*MIN(1,(J$3-'Hire Analysis'!$H$8+1)/MAX(1,'Hire Analysis'!$H$50))*Assumptions!$B$61,0)</f>
        <v>0</v>
      </c>
      <c r="K29" s="35" t="n">
        <f aca="false">IF(AND('Hire Analysis'!$H$7="Yes",K$3&gt;='Hire Analysis'!$H$8),'Hire Analysis'!$H$49/12*MIN(1,(K$3-'Hire Analysis'!$H$8+1)/MAX(1,'Hire Analysis'!$H$50))*Assumptions!$B$61,0)</f>
        <v>0</v>
      </c>
      <c r="L29" s="35" t="n">
        <f aca="false">IF(AND('Hire Analysis'!$H$7="Yes",L$3&gt;='Hire Analysis'!$H$8),'Hire Analysis'!$H$49/12*MIN(1,(L$3-'Hire Analysis'!$H$8+1)/MAX(1,'Hire Analysis'!$H$50))*Assumptions!$B$61,0)</f>
        <v>0</v>
      </c>
      <c r="M29" s="35" t="n">
        <f aca="false">IF(AND('Hire Analysis'!$H$7="Yes",M$3&gt;='Hire Analysis'!$H$8),'Hire Analysis'!$H$49/12*MIN(1,(M$3-'Hire Analysis'!$H$8+1)/MAX(1,'Hire Analysis'!$H$50))*Assumptions!$B$61,0)</f>
        <v>0</v>
      </c>
      <c r="N29" s="35" t="n">
        <f aca="false">IF(AND('Hire Analysis'!$H$7="Yes",N$3&gt;='Hire Analysis'!$H$8),'Hire Analysis'!$H$49/12*MIN(1,(N$3-'Hire Analysis'!$H$8+1)/MAX(1,'Hire Analysis'!$H$50))*Assumptions!$B$61,0)</f>
        <v>0</v>
      </c>
      <c r="O29" s="35" t="n">
        <f aca="false">IF(AND('Hire Analysis'!$H$7="Yes",O$3&gt;='Hire Analysis'!$H$8),'Hire Analysis'!$H$49/12*MIN(1,(O$3-'Hire Analysis'!$H$8+1)/MAX(1,'Hire Analysis'!$H$50))*Assumptions!$B$61,0)</f>
        <v>0</v>
      </c>
      <c r="P29" s="35" t="n">
        <f aca="false">IF(AND('Hire Analysis'!$H$7="Yes",P$3&gt;='Hire Analysis'!$H$8),'Hire Analysis'!$H$49/12*MIN(1,(P$3-'Hire Analysis'!$H$8+1)/MAX(1,'Hire Analysis'!$H$50))*Assumptions!$B$61,0)</f>
        <v>0</v>
      </c>
      <c r="Q29" s="35" t="n">
        <f aca="false">IF(AND('Hire Analysis'!$H$7="Yes",Q$3&gt;='Hire Analysis'!$H$8),'Hire Analysis'!$H$49/12*MIN(1,(Q$3-'Hire Analysis'!$H$8+1)/MAX(1,'Hire Analysis'!$H$50))*Assumptions!$B$61,0)</f>
        <v>0</v>
      </c>
      <c r="R29" s="35" t="n">
        <f aca="false">IF(AND('Hire Analysis'!$H$7="Yes",R$3&gt;='Hire Analysis'!$H$8),'Hire Analysis'!$H$49/12*MIN(1,(R$3-'Hire Analysis'!$H$8+1)/MAX(1,'Hire Analysis'!$H$50))*Assumptions!$B$61,0)</f>
        <v>0</v>
      </c>
      <c r="S29" s="35" t="n">
        <f aca="false">IF(AND('Hire Analysis'!$H$7="Yes",S$3&gt;='Hire Analysis'!$H$8),'Hire Analysis'!$H$49/12*MIN(1,(S$3-'Hire Analysis'!$H$8+1)/MAX(1,'Hire Analysis'!$H$50))*Assumptions!$B$61,0)</f>
        <v>0</v>
      </c>
      <c r="T29" s="35" t="n">
        <f aca="false">IF(AND('Hire Analysis'!$H$7="Yes",T$3&gt;='Hire Analysis'!$H$8),'Hire Analysis'!$H$49/12*MIN(1,(T$3-'Hire Analysis'!$H$8+1)/MAX(1,'Hire Analysis'!$H$50))*Assumptions!$B$61,0)</f>
        <v>0</v>
      </c>
      <c r="U29" s="35" t="n">
        <f aca="false">IF(AND('Hire Analysis'!$H$7="Yes",U$3&gt;='Hire Analysis'!$H$8),'Hire Analysis'!$H$49/12*MIN(1,(U$3-'Hire Analysis'!$H$8+1)/MAX(1,'Hire Analysis'!$H$50))*Assumptions!$B$61,0)</f>
        <v>0</v>
      </c>
      <c r="V29" s="35" t="n">
        <f aca="false">IF(AND('Hire Analysis'!$H$7="Yes",V$3&gt;='Hire Analysis'!$H$8),'Hire Analysis'!$H$49/12*MIN(1,(V$3-'Hire Analysis'!$H$8+1)/MAX(1,'Hire Analysis'!$H$50))*Assumptions!$B$61,0)</f>
        <v>0</v>
      </c>
      <c r="W29" s="35" t="n">
        <f aca="false">IF(AND('Hire Analysis'!$H$7="Yes",W$3&gt;='Hire Analysis'!$H$8),'Hire Analysis'!$H$49/12*MIN(1,(W$3-'Hire Analysis'!$H$8+1)/MAX(1,'Hire Analysis'!$H$50))*Assumptions!$B$61,0)</f>
        <v>0</v>
      </c>
      <c r="X29" s="35" t="n">
        <f aca="false">IF(AND('Hire Analysis'!$H$7="Yes",X$3&gt;='Hire Analysis'!$H$8),'Hire Analysis'!$H$49/12*MIN(1,(X$3-'Hire Analysis'!$H$8+1)/MAX(1,'Hire Analysis'!$H$50))*Assumptions!$B$61,0)</f>
        <v>0</v>
      </c>
      <c r="Y29" s="35" t="n">
        <f aca="false">IF(AND('Hire Analysis'!$H$7="Yes",Y$3&gt;='Hire Analysis'!$H$8),'Hire Analysis'!$H$49/12*MIN(1,(Y$3-'Hire Analysis'!$H$8+1)/MAX(1,'Hire Analysis'!$H$50))*Assumptions!$B$61,0)</f>
        <v>0</v>
      </c>
      <c r="Z29" s="35" t="n">
        <f aca="false">IF(AND('Hire Analysis'!$H$7="Yes",Z$3&gt;='Hire Analysis'!$H$8),'Hire Analysis'!$H$49/12*MIN(1,(Z$3-'Hire Analysis'!$H$8+1)/MAX(1,'Hire Analysis'!$H$50))*Assumptions!$B$61,0)</f>
        <v>0</v>
      </c>
    </row>
    <row r="30" customFormat="false" ht="15" hidden="false" customHeight="false" outlineLevel="0" collapsed="false">
      <c r="A30" s="36" t="s">
        <v>376</v>
      </c>
      <c r="C30" s="37" t="n">
        <f aca="false">C29-C27-C28</f>
        <v>0</v>
      </c>
      <c r="D30" s="37" t="n">
        <f aca="false">D29-D27-D28</f>
        <v>0</v>
      </c>
      <c r="E30" s="37" t="n">
        <f aca="false">E29-E27-E28</f>
        <v>0</v>
      </c>
      <c r="F30" s="37" t="n">
        <f aca="false">F29-F27-F28</f>
        <v>0</v>
      </c>
      <c r="G30" s="37" t="n">
        <f aca="false">G29-G27-G28</f>
        <v>0</v>
      </c>
      <c r="H30" s="37" t="n">
        <f aca="false">H29-H27-H28</f>
        <v>0</v>
      </c>
      <c r="I30" s="37" t="n">
        <f aca="false">I29-I27-I28</f>
        <v>0</v>
      </c>
      <c r="J30" s="37" t="n">
        <f aca="false">J29-J27-J28</f>
        <v>0</v>
      </c>
      <c r="K30" s="37" t="n">
        <f aca="false">K29-K27-K28</f>
        <v>0</v>
      </c>
      <c r="L30" s="37" t="n">
        <f aca="false">L29-L27-L28</f>
        <v>0</v>
      </c>
      <c r="M30" s="37" t="n">
        <f aca="false">M29-M27-M28</f>
        <v>0</v>
      </c>
      <c r="N30" s="37" t="n">
        <f aca="false">N29-N27-N28</f>
        <v>0</v>
      </c>
      <c r="O30" s="37" t="n">
        <f aca="false">O29-O27-O28</f>
        <v>0</v>
      </c>
      <c r="P30" s="37" t="n">
        <f aca="false">P29-P27-P28</f>
        <v>0</v>
      </c>
      <c r="Q30" s="37" t="n">
        <f aca="false">Q29-Q27-Q28</f>
        <v>0</v>
      </c>
      <c r="R30" s="37" t="n">
        <f aca="false">R29-R27-R28</f>
        <v>0</v>
      </c>
      <c r="S30" s="37" t="n">
        <f aca="false">S29-S27-S28</f>
        <v>0</v>
      </c>
      <c r="T30" s="37" t="n">
        <f aca="false">T29-T27-T28</f>
        <v>0</v>
      </c>
      <c r="U30" s="37" t="n">
        <f aca="false">U29-U27-U28</f>
        <v>0</v>
      </c>
      <c r="V30" s="37" t="n">
        <f aca="false">V29-V27-V28</f>
        <v>0</v>
      </c>
      <c r="W30" s="37" t="n">
        <f aca="false">W29-W27-W28</f>
        <v>0</v>
      </c>
      <c r="X30" s="37" t="n">
        <f aca="false">X29-X27-X28</f>
        <v>0</v>
      </c>
      <c r="Y30" s="37" t="n">
        <f aca="false">Y29-Y27-Y28</f>
        <v>0</v>
      </c>
      <c r="Z30" s="37" t="n">
        <f aca="false">Z29-Z27-Z28</f>
        <v>0</v>
      </c>
    </row>
    <row r="31" customFormat="false" ht="15" hidden="false" customHeight="false" outlineLevel="0" collapsed="false">
      <c r="A31" s="6" t="s">
        <v>377</v>
      </c>
      <c r="C31" s="37" t="n">
        <f aca="false">C7+C8+C11+C12+C15+C16+C19+C20+C23+C24+C27+C28</f>
        <v>0</v>
      </c>
      <c r="D31" s="37" t="n">
        <f aca="false">D7+D8+D11+D12+D15+D16+D19+D20+D23+D24+D27+D28</f>
        <v>32542.4375</v>
      </c>
      <c r="E31" s="37" t="n">
        <f aca="false">E7+E8+E11+E12+E15+E16+E19+E20+E23+E24+E27+E28</f>
        <v>10042.4375</v>
      </c>
      <c r="F31" s="37" t="n">
        <f aca="false">F7+F8+F11+F12+F15+F16+F19+F20+F23+F24+F27+F28</f>
        <v>10042.4375</v>
      </c>
      <c r="G31" s="37" t="n">
        <f aca="false">G7+G8+G11+G12+G15+G16+G19+G20+G23+G24+G27+G28</f>
        <v>10042.4375</v>
      </c>
      <c r="H31" s="37" t="n">
        <f aca="false">H7+H8+H11+H12+H15+H16+H19+H20+H23+H24+H27+H28</f>
        <v>10042.4375</v>
      </c>
      <c r="I31" s="37" t="n">
        <f aca="false">I7+I8+I11+I12+I15+I16+I19+I20+I23+I24+I27+I28</f>
        <v>10042.4375</v>
      </c>
      <c r="J31" s="37" t="n">
        <f aca="false">J7+J8+J11+J12+J15+J16+J19+J20+J23+J24+J27+J28</f>
        <v>10042.4375</v>
      </c>
      <c r="K31" s="37" t="n">
        <f aca="false">K7+K8+K11+K12+K15+K16+K19+K20+K23+K24+K27+K28</f>
        <v>10042.4375</v>
      </c>
      <c r="L31" s="37" t="n">
        <f aca="false">L7+L8+L11+L12+L15+L16+L19+L20+L23+L24+L27+L28</f>
        <v>10042.4375</v>
      </c>
      <c r="M31" s="37" t="n">
        <f aca="false">M7+M8+M11+M12+M15+M16+M19+M20+M23+M24+M27+M28</f>
        <v>10042.4375</v>
      </c>
      <c r="N31" s="37" t="n">
        <f aca="false">N7+N8+N11+N12+N15+N16+N19+N20+N23+N24+N27+N28</f>
        <v>10042.4375</v>
      </c>
      <c r="O31" s="37" t="n">
        <f aca="false">O7+O8+O11+O12+O15+O16+O19+O20+O23+O24+O27+O28</f>
        <v>10042.4375</v>
      </c>
      <c r="P31" s="37" t="n">
        <f aca="false">P7+P8+P11+P12+P15+P16+P19+P20+P23+P24+P27+P28</f>
        <v>10042.4375</v>
      </c>
      <c r="Q31" s="37" t="n">
        <f aca="false">Q7+Q8+Q11+Q12+Q15+Q16+Q19+Q20+Q23+Q24+Q27+Q28</f>
        <v>10042.4375</v>
      </c>
      <c r="R31" s="37" t="n">
        <f aca="false">R7+R8+R11+R12+R15+R16+R19+R20+R23+R24+R27+R28</f>
        <v>10042.4375</v>
      </c>
      <c r="S31" s="37" t="n">
        <f aca="false">S7+S8+S11+S12+S15+S16+S19+S20+S23+S24+S27+S28</f>
        <v>10042.4375</v>
      </c>
      <c r="T31" s="37" t="n">
        <f aca="false">T7+T8+T11+T12+T15+T16+T19+T20+T23+T24+T27+T28</f>
        <v>10042.4375</v>
      </c>
      <c r="U31" s="37" t="n">
        <f aca="false">U7+U8+U11+U12+U15+U16+U19+U20+U23+U24+U27+U28</f>
        <v>10042.4375</v>
      </c>
      <c r="V31" s="37" t="n">
        <f aca="false">V7+V8+V11+V12+V15+V16+V19+V20+V23+V24+V27+V28</f>
        <v>10042.4375</v>
      </c>
      <c r="W31" s="37" t="n">
        <f aca="false">W7+W8+W11+W12+W15+W16+W19+W20+W23+W24+W27+W28</f>
        <v>10042.4375</v>
      </c>
      <c r="X31" s="37" t="n">
        <f aca="false">X7+X8+X11+X12+X15+X16+X19+X20+X23+X24+X27+X28</f>
        <v>10042.4375</v>
      </c>
      <c r="Y31" s="37" t="n">
        <f aca="false">Y7+Y8+Y11+Y12+Y15+Y16+Y19+Y20+Y23+Y24+Y27+Y28</f>
        <v>10042.4375</v>
      </c>
      <c r="Z31" s="37" t="n">
        <f aca="false">Z7+Z8+Z11+Z12+Z15+Z16+Z19+Z20+Z23+Z24+Z27+Z28</f>
        <v>10042.4375</v>
      </c>
    </row>
    <row r="32" customFormat="false" ht="15" hidden="false" customHeight="false" outlineLevel="0" collapsed="false">
      <c r="A32" s="6" t="s">
        <v>378</v>
      </c>
      <c r="C32" s="37" t="n">
        <f aca="false">C9+C13+C17+C21+C25+C29</f>
        <v>0</v>
      </c>
      <c r="D32" s="37" t="n">
        <f aca="false">D9+D13+D17+D21+D25+D29</f>
        <v>2630.55555555556</v>
      </c>
      <c r="E32" s="37" t="n">
        <f aca="false">E9+E13+E17+E21+E25+E29</f>
        <v>5261.11111111111</v>
      </c>
      <c r="F32" s="37" t="n">
        <f aca="false">F9+F13+F17+F21+F25+F29</f>
        <v>7891.66666666667</v>
      </c>
      <c r="G32" s="37" t="n">
        <f aca="false">G9+G13+G17+G21+G25+G29</f>
        <v>10522.2222222222</v>
      </c>
      <c r="H32" s="37" t="n">
        <f aca="false">H9+H13+H17+H21+H25+H29</f>
        <v>13152.7777777778</v>
      </c>
      <c r="I32" s="37" t="n">
        <f aca="false">I9+I13+I17+I21+I25+I29</f>
        <v>15783.3333333333</v>
      </c>
      <c r="J32" s="37" t="n">
        <f aca="false">J9+J13+J17+J21+J25+J29</f>
        <v>15783.3333333333</v>
      </c>
      <c r="K32" s="37" t="n">
        <f aca="false">K9+K13+K17+K21+K25+K29</f>
        <v>15783.3333333333</v>
      </c>
      <c r="L32" s="37" t="n">
        <f aca="false">L9+L13+L17+L21+L25+L29</f>
        <v>15783.3333333333</v>
      </c>
      <c r="M32" s="37" t="n">
        <f aca="false">M9+M13+M17+M21+M25+M29</f>
        <v>15783.3333333333</v>
      </c>
      <c r="N32" s="37" t="n">
        <f aca="false">N9+N13+N17+N21+N25+N29</f>
        <v>15783.3333333333</v>
      </c>
      <c r="O32" s="37" t="n">
        <f aca="false">O9+O13+O17+O21+O25+O29</f>
        <v>15783.3333333333</v>
      </c>
      <c r="P32" s="37" t="n">
        <f aca="false">P9+P13+P17+P21+P25+P29</f>
        <v>15783.3333333333</v>
      </c>
      <c r="Q32" s="37" t="n">
        <f aca="false">Q9+Q13+Q17+Q21+Q25+Q29</f>
        <v>15783.3333333333</v>
      </c>
      <c r="R32" s="37" t="n">
        <f aca="false">R9+R13+R17+R21+R25+R29</f>
        <v>15783.3333333333</v>
      </c>
      <c r="S32" s="37" t="n">
        <f aca="false">S9+S13+S17+S21+S25+S29</f>
        <v>15783.3333333333</v>
      </c>
      <c r="T32" s="37" t="n">
        <f aca="false">T9+T13+T17+T21+T25+T29</f>
        <v>15783.3333333333</v>
      </c>
      <c r="U32" s="37" t="n">
        <f aca="false">U9+U13+U17+U21+U25+U29</f>
        <v>15783.3333333333</v>
      </c>
      <c r="V32" s="37" t="n">
        <f aca="false">V9+V13+V17+V21+V25+V29</f>
        <v>15783.3333333333</v>
      </c>
      <c r="W32" s="37" t="n">
        <f aca="false">W9+W13+W17+W21+W25+W29</f>
        <v>15783.3333333333</v>
      </c>
      <c r="X32" s="37" t="n">
        <f aca="false">X9+X13+X17+X21+X25+X29</f>
        <v>15783.3333333333</v>
      </c>
      <c r="Y32" s="37" t="n">
        <f aca="false">Y9+Y13+Y17+Y21+Y25+Y29</f>
        <v>15783.3333333333</v>
      </c>
      <c r="Z32" s="37" t="n">
        <f aca="false">Z9+Z13+Z17+Z21+Z25+Z29</f>
        <v>15783.3333333333</v>
      </c>
    </row>
    <row r="33" customFormat="false" ht="15" hidden="false" customHeight="false" outlineLevel="0" collapsed="false">
      <c r="A33" s="6" t="s">
        <v>379</v>
      </c>
      <c r="C33" s="37" t="n">
        <f aca="false">C32-C31</f>
        <v>0</v>
      </c>
      <c r="D33" s="37" t="n">
        <f aca="false">D32-D31</f>
        <v>-29911.8819444444</v>
      </c>
      <c r="E33" s="37" t="n">
        <f aca="false">E32-E31</f>
        <v>-4781.32638888889</v>
      </c>
      <c r="F33" s="37" t="n">
        <f aca="false">F32-F31</f>
        <v>-2150.77083333333</v>
      </c>
      <c r="G33" s="37" t="n">
        <f aca="false">G32-G31</f>
        <v>479.784722222223</v>
      </c>
      <c r="H33" s="37" t="n">
        <f aca="false">H32-H31</f>
        <v>3110.34027777778</v>
      </c>
      <c r="I33" s="37" t="n">
        <f aca="false">I32-I31</f>
        <v>5740.89583333333</v>
      </c>
      <c r="J33" s="37" t="n">
        <f aca="false">J32-J31</f>
        <v>5740.89583333333</v>
      </c>
      <c r="K33" s="37" t="n">
        <f aca="false">K32-K31</f>
        <v>5740.89583333333</v>
      </c>
      <c r="L33" s="37" t="n">
        <f aca="false">L32-L31</f>
        <v>5740.89583333333</v>
      </c>
      <c r="M33" s="37" t="n">
        <f aca="false">M32-M31</f>
        <v>5740.89583333333</v>
      </c>
      <c r="N33" s="37" t="n">
        <f aca="false">N32-N31</f>
        <v>5740.89583333333</v>
      </c>
      <c r="O33" s="37" t="n">
        <f aca="false">O32-O31</f>
        <v>5740.89583333333</v>
      </c>
      <c r="P33" s="37" t="n">
        <f aca="false">P32-P31</f>
        <v>5740.89583333333</v>
      </c>
      <c r="Q33" s="37" t="n">
        <f aca="false">Q32-Q31</f>
        <v>5740.89583333333</v>
      </c>
      <c r="R33" s="37" t="n">
        <f aca="false">R32-R31</f>
        <v>5740.89583333333</v>
      </c>
      <c r="S33" s="37" t="n">
        <f aca="false">S32-S31</f>
        <v>5740.89583333333</v>
      </c>
      <c r="T33" s="37" t="n">
        <f aca="false">T32-T31</f>
        <v>5740.89583333333</v>
      </c>
      <c r="U33" s="37" t="n">
        <f aca="false">U32-U31</f>
        <v>5740.89583333333</v>
      </c>
      <c r="V33" s="37" t="n">
        <f aca="false">V32-V31</f>
        <v>5740.89583333333</v>
      </c>
      <c r="W33" s="37" t="n">
        <f aca="false">W32-W31</f>
        <v>5740.89583333333</v>
      </c>
      <c r="X33" s="37" t="n">
        <f aca="false">X32-X31</f>
        <v>5740.89583333333</v>
      </c>
      <c r="Y33" s="37" t="n">
        <f aca="false">Y32-Y31</f>
        <v>5740.89583333333</v>
      </c>
      <c r="Z33" s="37" t="n">
        <f aca="false">Z32-Z31</f>
        <v>5740.89583333333</v>
      </c>
    </row>
    <row r="35" customFormat="false" ht="15" hidden="false" customHeight="false" outlineLevel="0" collapsed="false">
      <c r="A35" s="4" t="s">
        <v>380</v>
      </c>
      <c r="B35" s="5"/>
      <c r="C35" s="5"/>
      <c r="D35" s="5"/>
      <c r="E35" s="5"/>
      <c r="F35" s="5"/>
      <c r="G35" s="5"/>
      <c r="H35" s="5"/>
      <c r="I35" s="5"/>
      <c r="J35" s="5"/>
      <c r="K35" s="5"/>
      <c r="L35" s="5"/>
      <c r="M35" s="5"/>
      <c r="N35" s="5"/>
      <c r="O35" s="5"/>
      <c r="P35" s="5"/>
      <c r="Q35" s="5"/>
      <c r="R35" s="5"/>
      <c r="S35" s="5"/>
      <c r="T35" s="5"/>
      <c r="U35" s="5"/>
      <c r="V35" s="5"/>
      <c r="W35" s="5"/>
      <c r="X35" s="5"/>
      <c r="Y35" s="5"/>
      <c r="Z35" s="5"/>
    </row>
    <row r="36" customFormat="false" ht="15" hidden="false" customHeight="false" outlineLevel="0" collapsed="false">
      <c r="A36" s="11" t="s">
        <v>381</v>
      </c>
      <c r="C36" s="35" t="n">
        <f aca="false">IF(AND('Equipment Analysis'!$C$7="Yes",C$3='Equipment Analysis'!$C$8),'Equipment Analysis'!$C$28,0)</f>
        <v>0</v>
      </c>
      <c r="D36" s="35" t="n">
        <f aca="false">IF(AND('Equipment Analysis'!$C$7="Yes",D$3='Equipment Analysis'!$C$8),'Equipment Analysis'!$C$28,0)</f>
        <v>0</v>
      </c>
      <c r="E36" s="35" t="n">
        <f aca="false">IF(AND('Equipment Analysis'!$C$7="Yes",E$3='Equipment Analysis'!$C$8),'Equipment Analysis'!$C$28,0)</f>
        <v>42304</v>
      </c>
      <c r="F36" s="35" t="n">
        <f aca="false">IF(AND('Equipment Analysis'!$C$7="Yes",F$3='Equipment Analysis'!$C$8),'Equipment Analysis'!$C$28,0)</f>
        <v>0</v>
      </c>
      <c r="G36" s="35" t="n">
        <f aca="false">IF(AND('Equipment Analysis'!$C$7="Yes",G$3='Equipment Analysis'!$C$8),'Equipment Analysis'!$C$28,0)</f>
        <v>0</v>
      </c>
      <c r="H36" s="35" t="n">
        <f aca="false">IF(AND('Equipment Analysis'!$C$7="Yes",H$3='Equipment Analysis'!$C$8),'Equipment Analysis'!$C$28,0)</f>
        <v>0</v>
      </c>
      <c r="I36" s="35" t="n">
        <f aca="false">IF(AND('Equipment Analysis'!$C$7="Yes",I$3='Equipment Analysis'!$C$8),'Equipment Analysis'!$C$28,0)</f>
        <v>0</v>
      </c>
      <c r="J36" s="35" t="n">
        <f aca="false">IF(AND('Equipment Analysis'!$C$7="Yes",J$3='Equipment Analysis'!$C$8),'Equipment Analysis'!$C$28,0)</f>
        <v>0</v>
      </c>
      <c r="K36" s="35" t="n">
        <f aca="false">IF(AND('Equipment Analysis'!$C$7="Yes",K$3='Equipment Analysis'!$C$8),'Equipment Analysis'!$C$28,0)</f>
        <v>0</v>
      </c>
      <c r="L36" s="35" t="n">
        <f aca="false">IF(AND('Equipment Analysis'!$C$7="Yes",L$3='Equipment Analysis'!$C$8),'Equipment Analysis'!$C$28,0)</f>
        <v>0</v>
      </c>
      <c r="M36" s="35" t="n">
        <f aca="false">IF(AND('Equipment Analysis'!$C$7="Yes",M$3='Equipment Analysis'!$C$8),'Equipment Analysis'!$C$28,0)</f>
        <v>0</v>
      </c>
      <c r="N36" s="35" t="n">
        <f aca="false">IF(AND('Equipment Analysis'!$C$7="Yes",N$3='Equipment Analysis'!$C$8),'Equipment Analysis'!$C$28,0)</f>
        <v>0</v>
      </c>
      <c r="O36" s="35" t="n">
        <f aca="false">IF(AND('Equipment Analysis'!$C$7="Yes",O$3='Equipment Analysis'!$C$8),'Equipment Analysis'!$C$28,0)</f>
        <v>0</v>
      </c>
      <c r="P36" s="35" t="n">
        <f aca="false">IF(AND('Equipment Analysis'!$C$7="Yes",P$3='Equipment Analysis'!$C$8),'Equipment Analysis'!$C$28,0)</f>
        <v>0</v>
      </c>
      <c r="Q36" s="35" t="n">
        <f aca="false">IF(AND('Equipment Analysis'!$C$7="Yes",Q$3='Equipment Analysis'!$C$8),'Equipment Analysis'!$C$28,0)</f>
        <v>0</v>
      </c>
      <c r="R36" s="35" t="n">
        <f aca="false">IF(AND('Equipment Analysis'!$C$7="Yes",R$3='Equipment Analysis'!$C$8),'Equipment Analysis'!$C$28,0)</f>
        <v>0</v>
      </c>
      <c r="S36" s="35" t="n">
        <f aca="false">IF(AND('Equipment Analysis'!$C$7="Yes",S$3='Equipment Analysis'!$C$8),'Equipment Analysis'!$C$28,0)</f>
        <v>0</v>
      </c>
      <c r="T36" s="35" t="n">
        <f aca="false">IF(AND('Equipment Analysis'!$C$7="Yes",T$3='Equipment Analysis'!$C$8),'Equipment Analysis'!$C$28,0)</f>
        <v>0</v>
      </c>
      <c r="U36" s="35" t="n">
        <f aca="false">IF(AND('Equipment Analysis'!$C$7="Yes",U$3='Equipment Analysis'!$C$8),'Equipment Analysis'!$C$28,0)</f>
        <v>0</v>
      </c>
      <c r="V36" s="35" t="n">
        <f aca="false">IF(AND('Equipment Analysis'!$C$7="Yes",V$3='Equipment Analysis'!$C$8),'Equipment Analysis'!$C$28,0)</f>
        <v>0</v>
      </c>
      <c r="W36" s="35" t="n">
        <f aca="false">IF(AND('Equipment Analysis'!$C$7="Yes",W$3='Equipment Analysis'!$C$8),'Equipment Analysis'!$C$28,0)</f>
        <v>0</v>
      </c>
      <c r="X36" s="35" t="n">
        <f aca="false">IF(AND('Equipment Analysis'!$C$7="Yes",X$3='Equipment Analysis'!$C$8),'Equipment Analysis'!$C$28,0)</f>
        <v>0</v>
      </c>
      <c r="Y36" s="35" t="n">
        <f aca="false">IF(AND('Equipment Analysis'!$C$7="Yes",Y$3='Equipment Analysis'!$C$8),'Equipment Analysis'!$C$28,0)</f>
        <v>0</v>
      </c>
      <c r="Z36" s="35" t="n">
        <f aca="false">IF(AND('Equipment Analysis'!$C$7="Yes",Z$3='Equipment Analysis'!$C$8),'Equipment Analysis'!$C$28,0)</f>
        <v>0</v>
      </c>
    </row>
    <row r="37" customFormat="false" ht="15" hidden="false" customHeight="false" outlineLevel="0" collapsed="false">
      <c r="A37" s="11" t="s">
        <v>382</v>
      </c>
      <c r="C37" s="35" t="n">
        <f aca="false">IF(AND('Equipment Analysis'!$C$7="Yes",C$3='Equipment Analysis'!$C$8,'Equipment Analysis'!$C$19="Loan"),'Equipment Analysis'!$C$22,0)</f>
        <v>0</v>
      </c>
      <c r="D37" s="35" t="n">
        <f aca="false">IF(AND('Equipment Analysis'!$C$7="Yes",D$3='Equipment Analysis'!$C$8,'Equipment Analysis'!$C$19="Loan"),'Equipment Analysis'!$C$22,0)</f>
        <v>0</v>
      </c>
      <c r="E37" s="35" t="n">
        <f aca="false">IF(AND('Equipment Analysis'!$C$7="Yes",E$3='Equipment Analysis'!$C$8,'Equipment Analysis'!$C$19="Loan"),'Equipment Analysis'!$C$22,0)</f>
        <v>169216</v>
      </c>
      <c r="F37" s="35" t="n">
        <f aca="false">IF(AND('Equipment Analysis'!$C$7="Yes",F$3='Equipment Analysis'!$C$8,'Equipment Analysis'!$C$19="Loan"),'Equipment Analysis'!$C$22,0)</f>
        <v>0</v>
      </c>
      <c r="G37" s="35" t="n">
        <f aca="false">IF(AND('Equipment Analysis'!$C$7="Yes",G$3='Equipment Analysis'!$C$8,'Equipment Analysis'!$C$19="Loan"),'Equipment Analysis'!$C$22,0)</f>
        <v>0</v>
      </c>
      <c r="H37" s="35" t="n">
        <f aca="false">IF(AND('Equipment Analysis'!$C$7="Yes",H$3='Equipment Analysis'!$C$8,'Equipment Analysis'!$C$19="Loan"),'Equipment Analysis'!$C$22,0)</f>
        <v>0</v>
      </c>
      <c r="I37" s="35" t="n">
        <f aca="false">IF(AND('Equipment Analysis'!$C$7="Yes",I$3='Equipment Analysis'!$C$8,'Equipment Analysis'!$C$19="Loan"),'Equipment Analysis'!$C$22,0)</f>
        <v>0</v>
      </c>
      <c r="J37" s="35" t="n">
        <f aca="false">IF(AND('Equipment Analysis'!$C$7="Yes",J$3='Equipment Analysis'!$C$8,'Equipment Analysis'!$C$19="Loan"),'Equipment Analysis'!$C$22,0)</f>
        <v>0</v>
      </c>
      <c r="K37" s="35" t="n">
        <f aca="false">IF(AND('Equipment Analysis'!$C$7="Yes",K$3='Equipment Analysis'!$C$8,'Equipment Analysis'!$C$19="Loan"),'Equipment Analysis'!$C$22,0)</f>
        <v>0</v>
      </c>
      <c r="L37" s="35" t="n">
        <f aca="false">IF(AND('Equipment Analysis'!$C$7="Yes",L$3='Equipment Analysis'!$C$8,'Equipment Analysis'!$C$19="Loan"),'Equipment Analysis'!$C$22,0)</f>
        <v>0</v>
      </c>
      <c r="M37" s="35" t="n">
        <f aca="false">IF(AND('Equipment Analysis'!$C$7="Yes",M$3='Equipment Analysis'!$C$8,'Equipment Analysis'!$C$19="Loan"),'Equipment Analysis'!$C$22,0)</f>
        <v>0</v>
      </c>
      <c r="N37" s="35" t="n">
        <f aca="false">IF(AND('Equipment Analysis'!$C$7="Yes",N$3='Equipment Analysis'!$C$8,'Equipment Analysis'!$C$19="Loan"),'Equipment Analysis'!$C$22,0)</f>
        <v>0</v>
      </c>
      <c r="O37" s="35" t="n">
        <f aca="false">IF(AND('Equipment Analysis'!$C$7="Yes",O$3='Equipment Analysis'!$C$8,'Equipment Analysis'!$C$19="Loan"),'Equipment Analysis'!$C$22,0)</f>
        <v>0</v>
      </c>
      <c r="P37" s="35" t="n">
        <f aca="false">IF(AND('Equipment Analysis'!$C$7="Yes",P$3='Equipment Analysis'!$C$8,'Equipment Analysis'!$C$19="Loan"),'Equipment Analysis'!$C$22,0)</f>
        <v>0</v>
      </c>
      <c r="Q37" s="35" t="n">
        <f aca="false">IF(AND('Equipment Analysis'!$C$7="Yes",Q$3='Equipment Analysis'!$C$8,'Equipment Analysis'!$C$19="Loan"),'Equipment Analysis'!$C$22,0)</f>
        <v>0</v>
      </c>
      <c r="R37" s="35" t="n">
        <f aca="false">IF(AND('Equipment Analysis'!$C$7="Yes",R$3='Equipment Analysis'!$C$8,'Equipment Analysis'!$C$19="Loan"),'Equipment Analysis'!$C$22,0)</f>
        <v>0</v>
      </c>
      <c r="S37" s="35" t="n">
        <f aca="false">IF(AND('Equipment Analysis'!$C$7="Yes",S$3='Equipment Analysis'!$C$8,'Equipment Analysis'!$C$19="Loan"),'Equipment Analysis'!$C$22,0)</f>
        <v>0</v>
      </c>
      <c r="T37" s="35" t="n">
        <f aca="false">IF(AND('Equipment Analysis'!$C$7="Yes",T$3='Equipment Analysis'!$C$8,'Equipment Analysis'!$C$19="Loan"),'Equipment Analysis'!$C$22,0)</f>
        <v>0</v>
      </c>
      <c r="U37" s="35" t="n">
        <f aca="false">IF(AND('Equipment Analysis'!$C$7="Yes",U$3='Equipment Analysis'!$C$8,'Equipment Analysis'!$C$19="Loan"),'Equipment Analysis'!$C$22,0)</f>
        <v>0</v>
      </c>
      <c r="V37" s="35" t="n">
        <f aca="false">IF(AND('Equipment Analysis'!$C$7="Yes",V$3='Equipment Analysis'!$C$8,'Equipment Analysis'!$C$19="Loan"),'Equipment Analysis'!$C$22,0)</f>
        <v>0</v>
      </c>
      <c r="W37" s="35" t="n">
        <f aca="false">IF(AND('Equipment Analysis'!$C$7="Yes",W$3='Equipment Analysis'!$C$8,'Equipment Analysis'!$C$19="Loan"),'Equipment Analysis'!$C$22,0)</f>
        <v>0</v>
      </c>
      <c r="X37" s="35" t="n">
        <f aca="false">IF(AND('Equipment Analysis'!$C$7="Yes",X$3='Equipment Analysis'!$C$8,'Equipment Analysis'!$C$19="Loan"),'Equipment Analysis'!$C$22,0)</f>
        <v>0</v>
      </c>
      <c r="Y37" s="35" t="n">
        <f aca="false">IF(AND('Equipment Analysis'!$C$7="Yes",Y$3='Equipment Analysis'!$C$8,'Equipment Analysis'!$C$19="Loan"),'Equipment Analysis'!$C$22,0)</f>
        <v>0</v>
      </c>
      <c r="Z37" s="35" t="n">
        <f aca="false">IF(AND('Equipment Analysis'!$C$7="Yes",Z$3='Equipment Analysis'!$C$8,'Equipment Analysis'!$C$19="Loan"),'Equipment Analysis'!$C$22,0)</f>
        <v>0</v>
      </c>
    </row>
    <row r="38" customFormat="false" ht="15" hidden="false" customHeight="false" outlineLevel="0" collapsed="false">
      <c r="A38" s="11" t="s">
        <v>383</v>
      </c>
      <c r="C38" s="35" t="n">
        <f aca="false">IF(AND('Equipment Analysis'!$C$7="Yes",'Equipment Analysis'!$C$19="Loan",C$3&gt;='Equipment Analysis'!$C$8,C$3&lt;='Equipment Analysis'!$C$8+'Equipment Analysis'!$C$24-1),'Equipment Analysis'!$C$25,0)</f>
        <v>0</v>
      </c>
      <c r="D38" s="35" t="n">
        <f aca="false">IF(AND('Equipment Analysis'!$C$7="Yes",'Equipment Analysis'!$C$19="Loan",D$3&gt;='Equipment Analysis'!$C$8,D$3&lt;='Equipment Analysis'!$C$8+'Equipment Analysis'!$C$24-1),'Equipment Analysis'!$C$25,0)</f>
        <v>0</v>
      </c>
      <c r="E38" s="35" t="n">
        <f aca="false">IF(AND('Equipment Analysis'!$C$7="Yes",'Equipment Analysis'!$C$19="Loan",E$3&gt;='Equipment Analysis'!$C$8,E$3&lt;='Equipment Analysis'!$C$8+'Equipment Analysis'!$C$24-1),'Equipment Analysis'!$C$25,0)</f>
        <v>3471.7253650383</v>
      </c>
      <c r="F38" s="35" t="n">
        <f aca="false">IF(AND('Equipment Analysis'!$C$7="Yes",'Equipment Analysis'!$C$19="Loan",F$3&gt;='Equipment Analysis'!$C$8,F$3&lt;='Equipment Analysis'!$C$8+'Equipment Analysis'!$C$24-1),'Equipment Analysis'!$C$25,0)</f>
        <v>3471.7253650383</v>
      </c>
      <c r="G38" s="35" t="n">
        <f aca="false">IF(AND('Equipment Analysis'!$C$7="Yes",'Equipment Analysis'!$C$19="Loan",G$3&gt;='Equipment Analysis'!$C$8,G$3&lt;='Equipment Analysis'!$C$8+'Equipment Analysis'!$C$24-1),'Equipment Analysis'!$C$25,0)</f>
        <v>3471.7253650383</v>
      </c>
      <c r="H38" s="35" t="n">
        <f aca="false">IF(AND('Equipment Analysis'!$C$7="Yes",'Equipment Analysis'!$C$19="Loan",H$3&gt;='Equipment Analysis'!$C$8,H$3&lt;='Equipment Analysis'!$C$8+'Equipment Analysis'!$C$24-1),'Equipment Analysis'!$C$25,0)</f>
        <v>3471.7253650383</v>
      </c>
      <c r="I38" s="35" t="n">
        <f aca="false">IF(AND('Equipment Analysis'!$C$7="Yes",'Equipment Analysis'!$C$19="Loan",I$3&gt;='Equipment Analysis'!$C$8,I$3&lt;='Equipment Analysis'!$C$8+'Equipment Analysis'!$C$24-1),'Equipment Analysis'!$C$25,0)</f>
        <v>3471.7253650383</v>
      </c>
      <c r="J38" s="35" t="n">
        <f aca="false">IF(AND('Equipment Analysis'!$C$7="Yes",'Equipment Analysis'!$C$19="Loan",J$3&gt;='Equipment Analysis'!$C$8,J$3&lt;='Equipment Analysis'!$C$8+'Equipment Analysis'!$C$24-1),'Equipment Analysis'!$C$25,0)</f>
        <v>3471.7253650383</v>
      </c>
      <c r="K38" s="35" t="n">
        <f aca="false">IF(AND('Equipment Analysis'!$C$7="Yes",'Equipment Analysis'!$C$19="Loan",K$3&gt;='Equipment Analysis'!$C$8,K$3&lt;='Equipment Analysis'!$C$8+'Equipment Analysis'!$C$24-1),'Equipment Analysis'!$C$25,0)</f>
        <v>3471.7253650383</v>
      </c>
      <c r="L38" s="35" t="n">
        <f aca="false">IF(AND('Equipment Analysis'!$C$7="Yes",'Equipment Analysis'!$C$19="Loan",L$3&gt;='Equipment Analysis'!$C$8,L$3&lt;='Equipment Analysis'!$C$8+'Equipment Analysis'!$C$24-1),'Equipment Analysis'!$C$25,0)</f>
        <v>3471.7253650383</v>
      </c>
      <c r="M38" s="35" t="n">
        <f aca="false">IF(AND('Equipment Analysis'!$C$7="Yes",'Equipment Analysis'!$C$19="Loan",M$3&gt;='Equipment Analysis'!$C$8,M$3&lt;='Equipment Analysis'!$C$8+'Equipment Analysis'!$C$24-1),'Equipment Analysis'!$C$25,0)</f>
        <v>3471.7253650383</v>
      </c>
      <c r="N38" s="35" t="n">
        <f aca="false">IF(AND('Equipment Analysis'!$C$7="Yes",'Equipment Analysis'!$C$19="Loan",N$3&gt;='Equipment Analysis'!$C$8,N$3&lt;='Equipment Analysis'!$C$8+'Equipment Analysis'!$C$24-1),'Equipment Analysis'!$C$25,0)</f>
        <v>3471.7253650383</v>
      </c>
      <c r="O38" s="35" t="n">
        <f aca="false">IF(AND('Equipment Analysis'!$C$7="Yes",'Equipment Analysis'!$C$19="Loan",O$3&gt;='Equipment Analysis'!$C$8,O$3&lt;='Equipment Analysis'!$C$8+'Equipment Analysis'!$C$24-1),'Equipment Analysis'!$C$25,0)</f>
        <v>3471.7253650383</v>
      </c>
      <c r="P38" s="35" t="n">
        <f aca="false">IF(AND('Equipment Analysis'!$C$7="Yes",'Equipment Analysis'!$C$19="Loan",P$3&gt;='Equipment Analysis'!$C$8,P$3&lt;='Equipment Analysis'!$C$8+'Equipment Analysis'!$C$24-1),'Equipment Analysis'!$C$25,0)</f>
        <v>3471.7253650383</v>
      </c>
      <c r="Q38" s="35" t="n">
        <f aca="false">IF(AND('Equipment Analysis'!$C$7="Yes",'Equipment Analysis'!$C$19="Loan",Q$3&gt;='Equipment Analysis'!$C$8,Q$3&lt;='Equipment Analysis'!$C$8+'Equipment Analysis'!$C$24-1),'Equipment Analysis'!$C$25,0)</f>
        <v>3471.7253650383</v>
      </c>
      <c r="R38" s="35" t="n">
        <f aca="false">IF(AND('Equipment Analysis'!$C$7="Yes",'Equipment Analysis'!$C$19="Loan",R$3&gt;='Equipment Analysis'!$C$8,R$3&lt;='Equipment Analysis'!$C$8+'Equipment Analysis'!$C$24-1),'Equipment Analysis'!$C$25,0)</f>
        <v>3471.7253650383</v>
      </c>
      <c r="S38" s="35" t="n">
        <f aca="false">IF(AND('Equipment Analysis'!$C$7="Yes",'Equipment Analysis'!$C$19="Loan",S$3&gt;='Equipment Analysis'!$C$8,S$3&lt;='Equipment Analysis'!$C$8+'Equipment Analysis'!$C$24-1),'Equipment Analysis'!$C$25,0)</f>
        <v>3471.7253650383</v>
      </c>
      <c r="T38" s="35" t="n">
        <f aca="false">IF(AND('Equipment Analysis'!$C$7="Yes",'Equipment Analysis'!$C$19="Loan",T$3&gt;='Equipment Analysis'!$C$8,T$3&lt;='Equipment Analysis'!$C$8+'Equipment Analysis'!$C$24-1),'Equipment Analysis'!$C$25,0)</f>
        <v>3471.7253650383</v>
      </c>
      <c r="U38" s="35" t="n">
        <f aca="false">IF(AND('Equipment Analysis'!$C$7="Yes",'Equipment Analysis'!$C$19="Loan",U$3&gt;='Equipment Analysis'!$C$8,U$3&lt;='Equipment Analysis'!$C$8+'Equipment Analysis'!$C$24-1),'Equipment Analysis'!$C$25,0)</f>
        <v>3471.7253650383</v>
      </c>
      <c r="V38" s="35" t="n">
        <f aca="false">IF(AND('Equipment Analysis'!$C$7="Yes",'Equipment Analysis'!$C$19="Loan",V$3&gt;='Equipment Analysis'!$C$8,V$3&lt;='Equipment Analysis'!$C$8+'Equipment Analysis'!$C$24-1),'Equipment Analysis'!$C$25,0)</f>
        <v>3471.7253650383</v>
      </c>
      <c r="W38" s="35" t="n">
        <f aca="false">IF(AND('Equipment Analysis'!$C$7="Yes",'Equipment Analysis'!$C$19="Loan",W$3&gt;='Equipment Analysis'!$C$8,W$3&lt;='Equipment Analysis'!$C$8+'Equipment Analysis'!$C$24-1),'Equipment Analysis'!$C$25,0)</f>
        <v>3471.7253650383</v>
      </c>
      <c r="X38" s="35" t="n">
        <f aca="false">IF(AND('Equipment Analysis'!$C$7="Yes",'Equipment Analysis'!$C$19="Loan",X$3&gt;='Equipment Analysis'!$C$8,X$3&lt;='Equipment Analysis'!$C$8+'Equipment Analysis'!$C$24-1),'Equipment Analysis'!$C$25,0)</f>
        <v>3471.7253650383</v>
      </c>
      <c r="Y38" s="35" t="n">
        <f aca="false">IF(AND('Equipment Analysis'!$C$7="Yes",'Equipment Analysis'!$C$19="Loan",Y$3&gt;='Equipment Analysis'!$C$8,Y$3&lt;='Equipment Analysis'!$C$8+'Equipment Analysis'!$C$24-1),'Equipment Analysis'!$C$25,0)</f>
        <v>3471.7253650383</v>
      </c>
      <c r="Z38" s="35" t="n">
        <f aca="false">IF(AND('Equipment Analysis'!$C$7="Yes",'Equipment Analysis'!$C$19="Loan",Z$3&gt;='Equipment Analysis'!$C$8,Z$3&lt;='Equipment Analysis'!$C$8+'Equipment Analysis'!$C$24-1),'Equipment Analysis'!$C$25,0)</f>
        <v>3471.7253650383</v>
      </c>
    </row>
    <row r="39" customFormat="false" ht="15" hidden="false" customHeight="false" outlineLevel="0" collapsed="false">
      <c r="A39" s="11" t="s">
        <v>384</v>
      </c>
      <c r="C39" s="35" t="n">
        <f aca="false">IF(C38=0,0,-IPMT('Equipment Analysis'!$C$23/12,C$3-'Equipment Analysis'!$C$8+1,'Equipment Analysis'!$C$24,'Equipment Analysis'!$C$22))</f>
        <v>0</v>
      </c>
      <c r="D39" s="35" t="n">
        <f aca="false">IF(D38=0,0,-IPMT('Equipment Analysis'!$C$23/12,D$3-'Equipment Analysis'!$C$8+1,'Equipment Analysis'!$C$24,'Equipment Analysis'!$C$22))</f>
        <v>0</v>
      </c>
      <c r="E39" s="35" t="n">
        <f aca="false">IF(E38=0,0,-IPMT('Equipment Analysis'!$C$23/12,E$3-'Equipment Analysis'!$C$8+1,'Equipment Analysis'!$C$24,'Equipment Analysis'!$C$22))</f>
        <v>1198.61333333333</v>
      </c>
      <c r="F39" s="35" t="n">
        <f aca="false">IF(F38=0,0,-IPMT('Equipment Analysis'!$C$23/12,F$3-'Equipment Analysis'!$C$8+1,'Equipment Analysis'!$C$24,'Equipment Analysis'!$C$22))</f>
        <v>1182.51212310876</v>
      </c>
      <c r="G39" s="35" t="n">
        <f aca="false">IF(G38=0,0,-IPMT('Equipment Analysis'!$C$23/12,G$3-'Equipment Analysis'!$C$8+1,'Equipment Analysis'!$C$24,'Equipment Analysis'!$C$22))</f>
        <v>1166.29686264509</v>
      </c>
      <c r="H39" s="35" t="n">
        <f aca="false">IF(H38=0,0,-IPMT('Equipment Analysis'!$C$23/12,H$3-'Equipment Analysis'!$C$8+1,'Equipment Analysis'!$C$24,'Equipment Analysis'!$C$22))</f>
        <v>1149.96674408647</v>
      </c>
      <c r="I39" s="35" t="n">
        <f aca="false">IF(I38=0,0,-IPMT('Equipment Analysis'!$C$23/12,I$3-'Equipment Analysis'!$C$8+1,'Equipment Analysis'!$C$24,'Equipment Analysis'!$C$22))</f>
        <v>1133.52095385473</v>
      </c>
      <c r="J39" s="35" t="n">
        <f aca="false">IF(J38=0,0,-IPMT('Equipment Analysis'!$C$23/12,J$3-'Equipment Analysis'!$C$8+1,'Equipment Analysis'!$C$24,'Equipment Analysis'!$C$22))</f>
        <v>1116.95867260884</v>
      </c>
      <c r="K39" s="35" t="n">
        <f aca="false">IF(K38=0,0,-IPMT('Equipment Analysis'!$C$23/12,K$3-'Equipment Analysis'!$C$8+1,'Equipment Analysis'!$C$24,'Equipment Analysis'!$C$22))</f>
        <v>1100.27907520414</v>
      </c>
      <c r="L39" s="35" t="n">
        <f aca="false">IF(L38=0,0,-IPMT('Equipment Analysis'!$C$23/12,L$3-'Equipment Analysis'!$C$8+1,'Equipment Analysis'!$C$24,'Equipment Analysis'!$C$22))</f>
        <v>1083.48133065114</v>
      </c>
      <c r="M39" s="35" t="n">
        <f aca="false">IF(M38=0,0,-IPMT('Equipment Analysis'!$C$23/12,M$3-'Equipment Analysis'!$C$8+1,'Equipment Analysis'!$C$24,'Equipment Analysis'!$C$22))</f>
        <v>1066.56460207424</v>
      </c>
      <c r="N39" s="35" t="n">
        <f aca="false">IF(N38=0,0,-IPMT('Equipment Analysis'!$C$23/12,N$3-'Equipment Analysis'!$C$8+1,'Equipment Analysis'!$C$24,'Equipment Analysis'!$C$22))</f>
        <v>1049.52804666991</v>
      </c>
      <c r="O39" s="35" t="n">
        <f aca="false">IF(O38=0,0,-IPMT('Equipment Analysis'!$C$23/12,O$3-'Equipment Analysis'!$C$8+1,'Equipment Analysis'!$C$24,'Equipment Analysis'!$C$22))</f>
        <v>1032.3708156648</v>
      </c>
      <c r="P39" s="35" t="n">
        <f aca="false">IF(P38=0,0,-IPMT('Equipment Analysis'!$C$23/12,P$3-'Equipment Analysis'!$C$8+1,'Equipment Analysis'!$C$24,'Equipment Analysis'!$C$22))</f>
        <v>1015.0920542734</v>
      </c>
      <c r="Q39" s="35" t="n">
        <f aca="false">IF(Q38=0,0,-IPMT('Equipment Analysis'!$C$23/12,Q$3-'Equipment Analysis'!$C$8+1,'Equipment Analysis'!$C$24,'Equipment Analysis'!$C$22))</f>
        <v>997.690901655483</v>
      </c>
      <c r="R39" s="35" t="n">
        <f aca="false">IF(R38=0,0,-IPMT('Equipment Analysis'!$C$23/12,R$3-'Equipment Analysis'!$C$8+1,'Equipment Analysis'!$C$24,'Equipment Analysis'!$C$22))</f>
        <v>980.166490873188</v>
      </c>
      <c r="S39" s="35" t="n">
        <f aca="false">IF(S38=0,0,-IPMT('Equipment Analysis'!$C$23/12,S$3-'Equipment Analysis'!$C$8+1,'Equipment Analysis'!$C$24,'Equipment Analysis'!$C$22))</f>
        <v>962.517948847852</v>
      </c>
      <c r="T39" s="35" t="n">
        <f aca="false">IF(T38=0,0,-IPMT('Equipment Analysis'!$C$23/12,T$3-'Equipment Analysis'!$C$8+1,'Equipment Analysis'!$C$24,'Equipment Analysis'!$C$22))</f>
        <v>944.744396316503</v>
      </c>
      <c r="U39" s="35" t="n">
        <f aca="false">IF(U38=0,0,-IPMT('Equipment Analysis'!$C$23/12,U$3-'Equipment Analysis'!$C$8+1,'Equipment Analysis'!$C$24,'Equipment Analysis'!$C$22))</f>
        <v>926.844947788057</v>
      </c>
      <c r="V39" s="35" t="n">
        <f aca="false">IF(V38=0,0,-IPMT('Equipment Analysis'!$C$23/12,V$3-'Equipment Analysis'!$C$8+1,'Equipment Analysis'!$C$24,'Equipment Analysis'!$C$22))</f>
        <v>908.818711499201</v>
      </c>
      <c r="W39" s="35" t="n">
        <f aca="false">IF(W38=0,0,-IPMT('Equipment Analysis'!$C$23/12,W$3-'Equipment Analysis'!$C$8+1,'Equipment Analysis'!$C$24,'Equipment Analysis'!$C$22))</f>
        <v>890.664789369965</v>
      </c>
      <c r="X39" s="35" t="n">
        <f aca="false">IF(X38=0,0,-IPMT('Equipment Analysis'!$C$23/12,X$3-'Equipment Analysis'!$C$8+1,'Equipment Analysis'!$C$24,'Equipment Analysis'!$C$22))</f>
        <v>872.382276958981</v>
      </c>
      <c r="Y39" s="35" t="n">
        <f aca="false">IF(Y38=0,0,-IPMT('Equipment Analysis'!$C$23/12,Y$3-'Equipment Analysis'!$C$8+1,'Equipment Analysis'!$C$24,'Equipment Analysis'!$C$22))</f>
        <v>853.970263418419</v>
      </c>
      <c r="Z39" s="35" t="n">
        <f aca="false">IF(Z38=0,0,-IPMT('Equipment Analysis'!$C$23/12,Z$3-'Equipment Analysis'!$C$8+1,'Equipment Analysis'!$C$24,'Equipment Analysis'!$C$22))</f>
        <v>835.427831448612</v>
      </c>
    </row>
    <row r="40" customFormat="false" ht="15" hidden="false" customHeight="false" outlineLevel="0" collapsed="false">
      <c r="A40" s="11" t="s">
        <v>385</v>
      </c>
      <c r="C40" s="35" t="n">
        <f aca="false">C38-C39</f>
        <v>0</v>
      </c>
      <c r="D40" s="35" t="n">
        <f aca="false">D38-D39</f>
        <v>0</v>
      </c>
      <c r="E40" s="35" t="n">
        <f aca="false">E38-E39</f>
        <v>2273.11203170497</v>
      </c>
      <c r="F40" s="35" t="n">
        <f aca="false">F38-F39</f>
        <v>2289.21324192955</v>
      </c>
      <c r="G40" s="35" t="n">
        <f aca="false">G38-G39</f>
        <v>2305.42850239322</v>
      </c>
      <c r="H40" s="35" t="n">
        <f aca="false">H38-H39</f>
        <v>2321.75862095183</v>
      </c>
      <c r="I40" s="35" t="n">
        <f aca="false">I38-I39</f>
        <v>2338.20441118358</v>
      </c>
      <c r="J40" s="35" t="n">
        <f aca="false">J38-J39</f>
        <v>2354.76669242946</v>
      </c>
      <c r="K40" s="35" t="n">
        <f aca="false">K38-K39</f>
        <v>2371.44628983417</v>
      </c>
      <c r="L40" s="35" t="n">
        <f aca="false">L38-L39</f>
        <v>2388.24403438716</v>
      </c>
      <c r="M40" s="35" t="n">
        <f aca="false">M38-M39</f>
        <v>2405.16076296407</v>
      </c>
      <c r="N40" s="35" t="n">
        <f aca="false">N38-N39</f>
        <v>2422.1973183684</v>
      </c>
      <c r="O40" s="35" t="n">
        <f aca="false">O38-O39</f>
        <v>2439.35454937351</v>
      </c>
      <c r="P40" s="35" t="n">
        <f aca="false">P38-P39</f>
        <v>2456.6333107649</v>
      </c>
      <c r="Q40" s="35" t="n">
        <f aca="false">Q38-Q39</f>
        <v>2474.03446338282</v>
      </c>
      <c r="R40" s="35" t="n">
        <f aca="false">R38-R39</f>
        <v>2491.55887416512</v>
      </c>
      <c r="S40" s="35" t="n">
        <f aca="false">S38-S39</f>
        <v>2509.20741619045</v>
      </c>
      <c r="T40" s="35" t="n">
        <f aca="false">T38-T39</f>
        <v>2526.9809687218</v>
      </c>
      <c r="U40" s="35" t="n">
        <f aca="false">U38-U39</f>
        <v>2544.88041725025</v>
      </c>
      <c r="V40" s="35" t="n">
        <f aca="false">V38-V39</f>
        <v>2562.9066535391</v>
      </c>
      <c r="W40" s="35" t="n">
        <f aca="false">W38-W39</f>
        <v>2581.06057566834</v>
      </c>
      <c r="X40" s="35" t="n">
        <f aca="false">X38-X39</f>
        <v>2599.34308807932</v>
      </c>
      <c r="Y40" s="35" t="n">
        <f aca="false">Y38-Y39</f>
        <v>2617.75510161989</v>
      </c>
      <c r="Z40" s="35" t="n">
        <f aca="false">Z38-Z39</f>
        <v>2636.29753358969</v>
      </c>
    </row>
    <row r="41" customFormat="false" ht="15" hidden="false" customHeight="false" outlineLevel="0" collapsed="false">
      <c r="A41" s="11" t="s">
        <v>386</v>
      </c>
      <c r="C41" s="35" t="n">
        <f aca="false">IF(AND('Equipment Analysis'!$C$7="Yes",C$3&gt;='Equipment Analysis'!$C$8),('Equipment Analysis'!$C$38+IF(AND('Equipment Analysis'!$C$19="Lease",C$3&lt;='Equipment Analysis'!$C$8+'Equipment Analysis'!$C$27-1),'Equipment Analysis'!$C$26,0))*Assumptions!$B$62,0)</f>
        <v>0</v>
      </c>
      <c r="D41" s="35" t="n">
        <f aca="false">IF(AND('Equipment Analysis'!$C$7="Yes",D$3&gt;='Equipment Analysis'!$C$8),('Equipment Analysis'!$C$38+IF(AND('Equipment Analysis'!$C$19="Lease",D$3&lt;='Equipment Analysis'!$C$8+'Equipment Analysis'!$C$27-1),'Equipment Analysis'!$C$26,0))*Assumptions!$B$62,0)</f>
        <v>0</v>
      </c>
      <c r="E41" s="35" t="n">
        <f aca="false">IF(AND('Equipment Analysis'!$C$7="Yes",E$3&gt;='Equipment Analysis'!$C$8),('Equipment Analysis'!$C$38+IF(AND('Equipment Analysis'!$C$19="Lease",E$3&lt;='Equipment Analysis'!$C$8+'Equipment Analysis'!$C$27-1),'Equipment Analysis'!$C$26,0))*Assumptions!$B$62,0)</f>
        <v>1450</v>
      </c>
      <c r="F41" s="35" t="n">
        <f aca="false">IF(AND('Equipment Analysis'!$C$7="Yes",F$3&gt;='Equipment Analysis'!$C$8),('Equipment Analysis'!$C$38+IF(AND('Equipment Analysis'!$C$19="Lease",F$3&lt;='Equipment Analysis'!$C$8+'Equipment Analysis'!$C$27-1),'Equipment Analysis'!$C$26,0))*Assumptions!$B$62,0)</f>
        <v>1450</v>
      </c>
      <c r="G41" s="35" t="n">
        <f aca="false">IF(AND('Equipment Analysis'!$C$7="Yes",G$3&gt;='Equipment Analysis'!$C$8),('Equipment Analysis'!$C$38+IF(AND('Equipment Analysis'!$C$19="Lease",G$3&lt;='Equipment Analysis'!$C$8+'Equipment Analysis'!$C$27-1),'Equipment Analysis'!$C$26,0))*Assumptions!$B$62,0)</f>
        <v>1450</v>
      </c>
      <c r="H41" s="35" t="n">
        <f aca="false">IF(AND('Equipment Analysis'!$C$7="Yes",H$3&gt;='Equipment Analysis'!$C$8),('Equipment Analysis'!$C$38+IF(AND('Equipment Analysis'!$C$19="Lease",H$3&lt;='Equipment Analysis'!$C$8+'Equipment Analysis'!$C$27-1),'Equipment Analysis'!$C$26,0))*Assumptions!$B$62,0)</f>
        <v>1450</v>
      </c>
      <c r="I41" s="35" t="n">
        <f aca="false">IF(AND('Equipment Analysis'!$C$7="Yes",I$3&gt;='Equipment Analysis'!$C$8),('Equipment Analysis'!$C$38+IF(AND('Equipment Analysis'!$C$19="Lease",I$3&lt;='Equipment Analysis'!$C$8+'Equipment Analysis'!$C$27-1),'Equipment Analysis'!$C$26,0))*Assumptions!$B$62,0)</f>
        <v>1450</v>
      </c>
      <c r="J41" s="35" t="n">
        <f aca="false">IF(AND('Equipment Analysis'!$C$7="Yes",J$3&gt;='Equipment Analysis'!$C$8),('Equipment Analysis'!$C$38+IF(AND('Equipment Analysis'!$C$19="Lease",J$3&lt;='Equipment Analysis'!$C$8+'Equipment Analysis'!$C$27-1),'Equipment Analysis'!$C$26,0))*Assumptions!$B$62,0)</f>
        <v>1450</v>
      </c>
      <c r="K41" s="35" t="n">
        <f aca="false">IF(AND('Equipment Analysis'!$C$7="Yes",K$3&gt;='Equipment Analysis'!$C$8),('Equipment Analysis'!$C$38+IF(AND('Equipment Analysis'!$C$19="Lease",K$3&lt;='Equipment Analysis'!$C$8+'Equipment Analysis'!$C$27-1),'Equipment Analysis'!$C$26,0))*Assumptions!$B$62,0)</f>
        <v>1450</v>
      </c>
      <c r="L41" s="35" t="n">
        <f aca="false">IF(AND('Equipment Analysis'!$C$7="Yes",L$3&gt;='Equipment Analysis'!$C$8),('Equipment Analysis'!$C$38+IF(AND('Equipment Analysis'!$C$19="Lease",L$3&lt;='Equipment Analysis'!$C$8+'Equipment Analysis'!$C$27-1),'Equipment Analysis'!$C$26,0))*Assumptions!$B$62,0)</f>
        <v>1450</v>
      </c>
      <c r="M41" s="35" t="n">
        <f aca="false">IF(AND('Equipment Analysis'!$C$7="Yes",M$3&gt;='Equipment Analysis'!$C$8),('Equipment Analysis'!$C$38+IF(AND('Equipment Analysis'!$C$19="Lease",M$3&lt;='Equipment Analysis'!$C$8+'Equipment Analysis'!$C$27-1),'Equipment Analysis'!$C$26,0))*Assumptions!$B$62,0)</f>
        <v>1450</v>
      </c>
      <c r="N41" s="35" t="n">
        <f aca="false">IF(AND('Equipment Analysis'!$C$7="Yes",N$3&gt;='Equipment Analysis'!$C$8),('Equipment Analysis'!$C$38+IF(AND('Equipment Analysis'!$C$19="Lease",N$3&lt;='Equipment Analysis'!$C$8+'Equipment Analysis'!$C$27-1),'Equipment Analysis'!$C$26,0))*Assumptions!$B$62,0)</f>
        <v>1450</v>
      </c>
      <c r="O41" s="35" t="n">
        <f aca="false">IF(AND('Equipment Analysis'!$C$7="Yes",O$3&gt;='Equipment Analysis'!$C$8),('Equipment Analysis'!$C$38+IF(AND('Equipment Analysis'!$C$19="Lease",O$3&lt;='Equipment Analysis'!$C$8+'Equipment Analysis'!$C$27-1),'Equipment Analysis'!$C$26,0))*Assumptions!$B$62,0)</f>
        <v>1450</v>
      </c>
      <c r="P41" s="35" t="n">
        <f aca="false">IF(AND('Equipment Analysis'!$C$7="Yes",P$3&gt;='Equipment Analysis'!$C$8),('Equipment Analysis'!$C$38+IF(AND('Equipment Analysis'!$C$19="Lease",P$3&lt;='Equipment Analysis'!$C$8+'Equipment Analysis'!$C$27-1),'Equipment Analysis'!$C$26,0))*Assumptions!$B$62,0)</f>
        <v>1450</v>
      </c>
      <c r="Q41" s="35" t="n">
        <f aca="false">IF(AND('Equipment Analysis'!$C$7="Yes",Q$3&gt;='Equipment Analysis'!$C$8),('Equipment Analysis'!$C$38+IF(AND('Equipment Analysis'!$C$19="Lease",Q$3&lt;='Equipment Analysis'!$C$8+'Equipment Analysis'!$C$27-1),'Equipment Analysis'!$C$26,0))*Assumptions!$B$62,0)</f>
        <v>1450</v>
      </c>
      <c r="R41" s="35" t="n">
        <f aca="false">IF(AND('Equipment Analysis'!$C$7="Yes",R$3&gt;='Equipment Analysis'!$C$8),('Equipment Analysis'!$C$38+IF(AND('Equipment Analysis'!$C$19="Lease",R$3&lt;='Equipment Analysis'!$C$8+'Equipment Analysis'!$C$27-1),'Equipment Analysis'!$C$26,0))*Assumptions!$B$62,0)</f>
        <v>1450</v>
      </c>
      <c r="S41" s="35" t="n">
        <f aca="false">IF(AND('Equipment Analysis'!$C$7="Yes",S$3&gt;='Equipment Analysis'!$C$8),('Equipment Analysis'!$C$38+IF(AND('Equipment Analysis'!$C$19="Lease",S$3&lt;='Equipment Analysis'!$C$8+'Equipment Analysis'!$C$27-1),'Equipment Analysis'!$C$26,0))*Assumptions!$B$62,0)</f>
        <v>1450</v>
      </c>
      <c r="T41" s="35" t="n">
        <f aca="false">IF(AND('Equipment Analysis'!$C$7="Yes",T$3&gt;='Equipment Analysis'!$C$8),('Equipment Analysis'!$C$38+IF(AND('Equipment Analysis'!$C$19="Lease",T$3&lt;='Equipment Analysis'!$C$8+'Equipment Analysis'!$C$27-1),'Equipment Analysis'!$C$26,0))*Assumptions!$B$62,0)</f>
        <v>1450</v>
      </c>
      <c r="U41" s="35" t="n">
        <f aca="false">IF(AND('Equipment Analysis'!$C$7="Yes",U$3&gt;='Equipment Analysis'!$C$8),('Equipment Analysis'!$C$38+IF(AND('Equipment Analysis'!$C$19="Lease",U$3&lt;='Equipment Analysis'!$C$8+'Equipment Analysis'!$C$27-1),'Equipment Analysis'!$C$26,0))*Assumptions!$B$62,0)</f>
        <v>1450</v>
      </c>
      <c r="V41" s="35" t="n">
        <f aca="false">IF(AND('Equipment Analysis'!$C$7="Yes",V$3&gt;='Equipment Analysis'!$C$8),('Equipment Analysis'!$C$38+IF(AND('Equipment Analysis'!$C$19="Lease",V$3&lt;='Equipment Analysis'!$C$8+'Equipment Analysis'!$C$27-1),'Equipment Analysis'!$C$26,0))*Assumptions!$B$62,0)</f>
        <v>1450</v>
      </c>
      <c r="W41" s="35" t="n">
        <f aca="false">IF(AND('Equipment Analysis'!$C$7="Yes",W$3&gt;='Equipment Analysis'!$C$8),('Equipment Analysis'!$C$38+IF(AND('Equipment Analysis'!$C$19="Lease",W$3&lt;='Equipment Analysis'!$C$8+'Equipment Analysis'!$C$27-1),'Equipment Analysis'!$C$26,0))*Assumptions!$B$62,0)</f>
        <v>1450</v>
      </c>
      <c r="X41" s="35" t="n">
        <f aca="false">IF(AND('Equipment Analysis'!$C$7="Yes",X$3&gt;='Equipment Analysis'!$C$8),('Equipment Analysis'!$C$38+IF(AND('Equipment Analysis'!$C$19="Lease",X$3&lt;='Equipment Analysis'!$C$8+'Equipment Analysis'!$C$27-1),'Equipment Analysis'!$C$26,0))*Assumptions!$B$62,0)</f>
        <v>1450</v>
      </c>
      <c r="Y41" s="35" t="n">
        <f aca="false">IF(AND('Equipment Analysis'!$C$7="Yes",Y$3&gt;='Equipment Analysis'!$C$8),('Equipment Analysis'!$C$38+IF(AND('Equipment Analysis'!$C$19="Lease",Y$3&lt;='Equipment Analysis'!$C$8+'Equipment Analysis'!$C$27-1),'Equipment Analysis'!$C$26,0))*Assumptions!$B$62,0)</f>
        <v>1450</v>
      </c>
      <c r="Z41" s="35" t="n">
        <f aca="false">IF(AND('Equipment Analysis'!$C$7="Yes",Z$3&gt;='Equipment Analysis'!$C$8),('Equipment Analysis'!$C$38+IF(AND('Equipment Analysis'!$C$19="Lease",Z$3&lt;='Equipment Analysis'!$C$8+'Equipment Analysis'!$C$27-1),'Equipment Analysis'!$C$26,0))*Assumptions!$B$62,0)</f>
        <v>1450</v>
      </c>
    </row>
    <row r="42" customFormat="false" ht="15" hidden="false" customHeight="false" outlineLevel="0" collapsed="false">
      <c r="A42" s="11" t="s">
        <v>387</v>
      </c>
      <c r="C42" s="35" t="n">
        <f aca="false">IF(AND('Equipment Analysis'!$C$7="Yes",C$3&gt;='Equipment Analysis'!$C$8),'Equipment Analysis'!$C$47/12*MIN(1,(C$3-'Equipment Analysis'!$C$8+1)/MAX(1,'Equipment Analysis'!$C$48))*Assumptions!$B$61,0)</f>
        <v>0</v>
      </c>
      <c r="D42" s="35" t="n">
        <f aca="false">IF(AND('Equipment Analysis'!$C$7="Yes",D$3&gt;='Equipment Analysis'!$C$8),'Equipment Analysis'!$C$47/12*MIN(1,(D$3-'Equipment Analysis'!$C$8+1)/MAX(1,'Equipment Analysis'!$C$48))*Assumptions!$B$61,0)</f>
        <v>0</v>
      </c>
      <c r="E42" s="35" t="n">
        <f aca="false">IF(AND('Equipment Analysis'!$C$7="Yes",E$3&gt;='Equipment Analysis'!$C$8),'Equipment Analysis'!$C$47/12*MIN(1,(E$3-'Equipment Analysis'!$C$8+1)/MAX(1,'Equipment Analysis'!$C$48))*Assumptions!$B$61,0)</f>
        <v>3250</v>
      </c>
      <c r="F42" s="35" t="n">
        <f aca="false">IF(AND('Equipment Analysis'!$C$7="Yes",F$3&gt;='Equipment Analysis'!$C$8),'Equipment Analysis'!$C$47/12*MIN(1,(F$3-'Equipment Analysis'!$C$8+1)/MAX(1,'Equipment Analysis'!$C$48))*Assumptions!$B$61,0)</f>
        <v>6500</v>
      </c>
      <c r="G42" s="35" t="n">
        <f aca="false">IF(AND('Equipment Analysis'!$C$7="Yes",G$3&gt;='Equipment Analysis'!$C$8),'Equipment Analysis'!$C$47/12*MIN(1,(G$3-'Equipment Analysis'!$C$8+1)/MAX(1,'Equipment Analysis'!$C$48))*Assumptions!$B$61,0)</f>
        <v>9750</v>
      </c>
      <c r="H42" s="35" t="n">
        <f aca="false">IF(AND('Equipment Analysis'!$C$7="Yes",H$3&gt;='Equipment Analysis'!$C$8),'Equipment Analysis'!$C$47/12*MIN(1,(H$3-'Equipment Analysis'!$C$8+1)/MAX(1,'Equipment Analysis'!$C$48))*Assumptions!$B$61,0)</f>
        <v>13000</v>
      </c>
      <c r="I42" s="35" t="n">
        <f aca="false">IF(AND('Equipment Analysis'!$C$7="Yes",I$3&gt;='Equipment Analysis'!$C$8),'Equipment Analysis'!$C$47/12*MIN(1,(I$3-'Equipment Analysis'!$C$8+1)/MAX(1,'Equipment Analysis'!$C$48))*Assumptions!$B$61,0)</f>
        <v>13000</v>
      </c>
      <c r="J42" s="35" t="n">
        <f aca="false">IF(AND('Equipment Analysis'!$C$7="Yes",J$3&gt;='Equipment Analysis'!$C$8),'Equipment Analysis'!$C$47/12*MIN(1,(J$3-'Equipment Analysis'!$C$8+1)/MAX(1,'Equipment Analysis'!$C$48))*Assumptions!$B$61,0)</f>
        <v>13000</v>
      </c>
      <c r="K42" s="35" t="n">
        <f aca="false">IF(AND('Equipment Analysis'!$C$7="Yes",K$3&gt;='Equipment Analysis'!$C$8),'Equipment Analysis'!$C$47/12*MIN(1,(K$3-'Equipment Analysis'!$C$8+1)/MAX(1,'Equipment Analysis'!$C$48))*Assumptions!$B$61,0)</f>
        <v>13000</v>
      </c>
      <c r="L42" s="35" t="n">
        <f aca="false">IF(AND('Equipment Analysis'!$C$7="Yes",L$3&gt;='Equipment Analysis'!$C$8),'Equipment Analysis'!$C$47/12*MIN(1,(L$3-'Equipment Analysis'!$C$8+1)/MAX(1,'Equipment Analysis'!$C$48))*Assumptions!$B$61,0)</f>
        <v>13000</v>
      </c>
      <c r="M42" s="35" t="n">
        <f aca="false">IF(AND('Equipment Analysis'!$C$7="Yes",M$3&gt;='Equipment Analysis'!$C$8),'Equipment Analysis'!$C$47/12*MIN(1,(M$3-'Equipment Analysis'!$C$8+1)/MAX(1,'Equipment Analysis'!$C$48))*Assumptions!$B$61,0)</f>
        <v>13000</v>
      </c>
      <c r="N42" s="35" t="n">
        <f aca="false">IF(AND('Equipment Analysis'!$C$7="Yes",N$3&gt;='Equipment Analysis'!$C$8),'Equipment Analysis'!$C$47/12*MIN(1,(N$3-'Equipment Analysis'!$C$8+1)/MAX(1,'Equipment Analysis'!$C$48))*Assumptions!$B$61,0)</f>
        <v>13000</v>
      </c>
      <c r="O42" s="35" t="n">
        <f aca="false">IF(AND('Equipment Analysis'!$C$7="Yes",O$3&gt;='Equipment Analysis'!$C$8),'Equipment Analysis'!$C$47/12*MIN(1,(O$3-'Equipment Analysis'!$C$8+1)/MAX(1,'Equipment Analysis'!$C$48))*Assumptions!$B$61,0)</f>
        <v>13000</v>
      </c>
      <c r="P42" s="35" t="n">
        <f aca="false">IF(AND('Equipment Analysis'!$C$7="Yes",P$3&gt;='Equipment Analysis'!$C$8),'Equipment Analysis'!$C$47/12*MIN(1,(P$3-'Equipment Analysis'!$C$8+1)/MAX(1,'Equipment Analysis'!$C$48))*Assumptions!$B$61,0)</f>
        <v>13000</v>
      </c>
      <c r="Q42" s="35" t="n">
        <f aca="false">IF(AND('Equipment Analysis'!$C$7="Yes",Q$3&gt;='Equipment Analysis'!$C$8),'Equipment Analysis'!$C$47/12*MIN(1,(Q$3-'Equipment Analysis'!$C$8+1)/MAX(1,'Equipment Analysis'!$C$48))*Assumptions!$B$61,0)</f>
        <v>13000</v>
      </c>
      <c r="R42" s="35" t="n">
        <f aca="false">IF(AND('Equipment Analysis'!$C$7="Yes",R$3&gt;='Equipment Analysis'!$C$8),'Equipment Analysis'!$C$47/12*MIN(1,(R$3-'Equipment Analysis'!$C$8+1)/MAX(1,'Equipment Analysis'!$C$48))*Assumptions!$B$61,0)</f>
        <v>13000</v>
      </c>
      <c r="S42" s="35" t="n">
        <f aca="false">IF(AND('Equipment Analysis'!$C$7="Yes",S$3&gt;='Equipment Analysis'!$C$8),'Equipment Analysis'!$C$47/12*MIN(1,(S$3-'Equipment Analysis'!$C$8+1)/MAX(1,'Equipment Analysis'!$C$48))*Assumptions!$B$61,0)</f>
        <v>13000</v>
      </c>
      <c r="T42" s="35" t="n">
        <f aca="false">IF(AND('Equipment Analysis'!$C$7="Yes",T$3&gt;='Equipment Analysis'!$C$8),'Equipment Analysis'!$C$47/12*MIN(1,(T$3-'Equipment Analysis'!$C$8+1)/MAX(1,'Equipment Analysis'!$C$48))*Assumptions!$B$61,0)</f>
        <v>13000</v>
      </c>
      <c r="U42" s="35" t="n">
        <f aca="false">IF(AND('Equipment Analysis'!$C$7="Yes",U$3&gt;='Equipment Analysis'!$C$8),'Equipment Analysis'!$C$47/12*MIN(1,(U$3-'Equipment Analysis'!$C$8+1)/MAX(1,'Equipment Analysis'!$C$48))*Assumptions!$B$61,0)</f>
        <v>13000</v>
      </c>
      <c r="V42" s="35" t="n">
        <f aca="false">IF(AND('Equipment Analysis'!$C$7="Yes",V$3&gt;='Equipment Analysis'!$C$8),'Equipment Analysis'!$C$47/12*MIN(1,(V$3-'Equipment Analysis'!$C$8+1)/MAX(1,'Equipment Analysis'!$C$48))*Assumptions!$B$61,0)</f>
        <v>13000</v>
      </c>
      <c r="W42" s="35" t="n">
        <f aca="false">IF(AND('Equipment Analysis'!$C$7="Yes",W$3&gt;='Equipment Analysis'!$C$8),'Equipment Analysis'!$C$47/12*MIN(1,(W$3-'Equipment Analysis'!$C$8+1)/MAX(1,'Equipment Analysis'!$C$48))*Assumptions!$B$61,0)</f>
        <v>13000</v>
      </c>
      <c r="X42" s="35" t="n">
        <f aca="false">IF(AND('Equipment Analysis'!$C$7="Yes",X$3&gt;='Equipment Analysis'!$C$8),'Equipment Analysis'!$C$47/12*MIN(1,(X$3-'Equipment Analysis'!$C$8+1)/MAX(1,'Equipment Analysis'!$C$48))*Assumptions!$B$61,0)</f>
        <v>13000</v>
      </c>
      <c r="Y42" s="35" t="n">
        <f aca="false">IF(AND('Equipment Analysis'!$C$7="Yes",Y$3&gt;='Equipment Analysis'!$C$8),'Equipment Analysis'!$C$47/12*MIN(1,(Y$3-'Equipment Analysis'!$C$8+1)/MAX(1,'Equipment Analysis'!$C$48))*Assumptions!$B$61,0)</f>
        <v>13000</v>
      </c>
      <c r="Z42" s="35" t="n">
        <f aca="false">IF(AND('Equipment Analysis'!$C$7="Yes",Z$3&gt;='Equipment Analysis'!$C$8),'Equipment Analysis'!$C$47/12*MIN(1,(Z$3-'Equipment Analysis'!$C$8+1)/MAX(1,'Equipment Analysis'!$C$48))*Assumptions!$B$61,0)</f>
        <v>13000</v>
      </c>
    </row>
    <row r="43" customFormat="false" ht="15" hidden="false" customHeight="false" outlineLevel="0" collapsed="false">
      <c r="A43" s="11" t="s">
        <v>388</v>
      </c>
      <c r="C43" s="35" t="n">
        <f aca="false">IF(OR('Equipment Analysis'!$C$7&lt;&gt;"Yes",'Equipment Analysis'!$C$51=0,C$3&lt;'Equipment Analysis'!$C$8),0,IF(C$3&lt;='Equipment Analysis'!$C$8+11,'Equipment Analysis'!$C$56/12,'Equipment Analysis'!$C$57/12))</f>
        <v>0</v>
      </c>
      <c r="D43" s="35" t="n">
        <f aca="false">IF(OR('Equipment Analysis'!$C$7&lt;&gt;"Yes",'Equipment Analysis'!$C$51=0,D$3&lt;'Equipment Analysis'!$C$8),0,IF(D$3&lt;='Equipment Analysis'!$C$8+11,'Equipment Analysis'!$C$56/12,'Equipment Analysis'!$C$57/12))</f>
        <v>0</v>
      </c>
      <c r="E43" s="35" t="n">
        <f aca="false">IF(OR('Equipment Analysis'!$C$7&lt;&gt;"Yes",'Equipment Analysis'!$C$51=0,E$3&lt;'Equipment Analysis'!$C$8),0,IF(E$3&lt;='Equipment Analysis'!$C$8+11,'Equipment Analysis'!$C$56/12,'Equipment Analysis'!$C$57/12))</f>
        <v>17626.6666666667</v>
      </c>
      <c r="F43" s="35" t="n">
        <f aca="false">IF(OR('Equipment Analysis'!$C$7&lt;&gt;"Yes",'Equipment Analysis'!$C$51=0,F$3&lt;'Equipment Analysis'!$C$8),0,IF(F$3&lt;='Equipment Analysis'!$C$8+11,'Equipment Analysis'!$C$56/12,'Equipment Analysis'!$C$57/12))</f>
        <v>17626.6666666667</v>
      </c>
      <c r="G43" s="35" t="n">
        <f aca="false">IF(OR('Equipment Analysis'!$C$7&lt;&gt;"Yes",'Equipment Analysis'!$C$51=0,G$3&lt;'Equipment Analysis'!$C$8),0,IF(G$3&lt;='Equipment Analysis'!$C$8+11,'Equipment Analysis'!$C$56/12,'Equipment Analysis'!$C$57/12))</f>
        <v>17626.6666666667</v>
      </c>
      <c r="H43" s="35" t="n">
        <f aca="false">IF(OR('Equipment Analysis'!$C$7&lt;&gt;"Yes",'Equipment Analysis'!$C$51=0,H$3&lt;'Equipment Analysis'!$C$8),0,IF(H$3&lt;='Equipment Analysis'!$C$8+11,'Equipment Analysis'!$C$56/12,'Equipment Analysis'!$C$57/12))</f>
        <v>17626.6666666667</v>
      </c>
      <c r="I43" s="35" t="n">
        <f aca="false">IF(OR('Equipment Analysis'!$C$7&lt;&gt;"Yes",'Equipment Analysis'!$C$51=0,I$3&lt;'Equipment Analysis'!$C$8),0,IF(I$3&lt;='Equipment Analysis'!$C$8+11,'Equipment Analysis'!$C$56/12,'Equipment Analysis'!$C$57/12))</f>
        <v>17626.6666666667</v>
      </c>
      <c r="J43" s="35" t="n">
        <f aca="false">IF(OR('Equipment Analysis'!$C$7&lt;&gt;"Yes",'Equipment Analysis'!$C$51=0,J$3&lt;'Equipment Analysis'!$C$8),0,IF(J$3&lt;='Equipment Analysis'!$C$8+11,'Equipment Analysis'!$C$56/12,'Equipment Analysis'!$C$57/12))</f>
        <v>17626.6666666667</v>
      </c>
      <c r="K43" s="35" t="n">
        <f aca="false">IF(OR('Equipment Analysis'!$C$7&lt;&gt;"Yes",'Equipment Analysis'!$C$51=0,K$3&lt;'Equipment Analysis'!$C$8),0,IF(K$3&lt;='Equipment Analysis'!$C$8+11,'Equipment Analysis'!$C$56/12,'Equipment Analysis'!$C$57/12))</f>
        <v>17626.6666666667</v>
      </c>
      <c r="L43" s="35" t="n">
        <f aca="false">IF(OR('Equipment Analysis'!$C$7&lt;&gt;"Yes",'Equipment Analysis'!$C$51=0,L$3&lt;'Equipment Analysis'!$C$8),0,IF(L$3&lt;='Equipment Analysis'!$C$8+11,'Equipment Analysis'!$C$56/12,'Equipment Analysis'!$C$57/12))</f>
        <v>17626.6666666667</v>
      </c>
      <c r="M43" s="35" t="n">
        <f aca="false">IF(OR('Equipment Analysis'!$C$7&lt;&gt;"Yes",'Equipment Analysis'!$C$51=0,M$3&lt;'Equipment Analysis'!$C$8),0,IF(M$3&lt;='Equipment Analysis'!$C$8+11,'Equipment Analysis'!$C$56/12,'Equipment Analysis'!$C$57/12))</f>
        <v>17626.6666666667</v>
      </c>
      <c r="N43" s="35" t="n">
        <f aca="false">IF(OR('Equipment Analysis'!$C$7&lt;&gt;"Yes",'Equipment Analysis'!$C$51=0,N$3&lt;'Equipment Analysis'!$C$8),0,IF(N$3&lt;='Equipment Analysis'!$C$8+11,'Equipment Analysis'!$C$56/12,'Equipment Analysis'!$C$57/12))</f>
        <v>17626.6666666667</v>
      </c>
      <c r="O43" s="35" t="n">
        <f aca="false">IF(OR('Equipment Analysis'!$C$7&lt;&gt;"Yes",'Equipment Analysis'!$C$51=0,O$3&lt;'Equipment Analysis'!$C$8),0,IF(O$3&lt;='Equipment Analysis'!$C$8+11,'Equipment Analysis'!$C$56/12,'Equipment Analysis'!$C$57/12))</f>
        <v>17626.6666666667</v>
      </c>
      <c r="P43" s="35" t="n">
        <f aca="false">IF(OR('Equipment Analysis'!$C$7&lt;&gt;"Yes",'Equipment Analysis'!$C$51=0,P$3&lt;'Equipment Analysis'!$C$8),0,IF(P$3&lt;='Equipment Analysis'!$C$8+11,'Equipment Analysis'!$C$56/12,'Equipment Analysis'!$C$57/12))</f>
        <v>17626.6666666667</v>
      </c>
      <c r="Q43" s="35" t="n">
        <f aca="false">IF(OR('Equipment Analysis'!$C$7&lt;&gt;"Yes",'Equipment Analysis'!$C$51=0,Q$3&lt;'Equipment Analysis'!$C$8),0,IF(Q$3&lt;='Equipment Analysis'!$C$8+11,'Equipment Analysis'!$C$56/12,'Equipment Analysis'!$C$57/12))</f>
        <v>0</v>
      </c>
      <c r="R43" s="35" t="n">
        <f aca="false">IF(OR('Equipment Analysis'!$C$7&lt;&gt;"Yes",'Equipment Analysis'!$C$51=0,R$3&lt;'Equipment Analysis'!$C$8),0,IF(R$3&lt;='Equipment Analysis'!$C$8+11,'Equipment Analysis'!$C$56/12,'Equipment Analysis'!$C$57/12))</f>
        <v>0</v>
      </c>
      <c r="S43" s="35" t="n">
        <f aca="false">IF(OR('Equipment Analysis'!$C$7&lt;&gt;"Yes",'Equipment Analysis'!$C$51=0,S$3&lt;'Equipment Analysis'!$C$8),0,IF(S$3&lt;='Equipment Analysis'!$C$8+11,'Equipment Analysis'!$C$56/12,'Equipment Analysis'!$C$57/12))</f>
        <v>0</v>
      </c>
      <c r="T43" s="35" t="n">
        <f aca="false">IF(OR('Equipment Analysis'!$C$7&lt;&gt;"Yes",'Equipment Analysis'!$C$51=0,T$3&lt;'Equipment Analysis'!$C$8),0,IF(T$3&lt;='Equipment Analysis'!$C$8+11,'Equipment Analysis'!$C$56/12,'Equipment Analysis'!$C$57/12))</f>
        <v>0</v>
      </c>
      <c r="U43" s="35" t="n">
        <f aca="false">IF(OR('Equipment Analysis'!$C$7&lt;&gt;"Yes",'Equipment Analysis'!$C$51=0,U$3&lt;'Equipment Analysis'!$C$8),0,IF(U$3&lt;='Equipment Analysis'!$C$8+11,'Equipment Analysis'!$C$56/12,'Equipment Analysis'!$C$57/12))</f>
        <v>0</v>
      </c>
      <c r="V43" s="35" t="n">
        <f aca="false">IF(OR('Equipment Analysis'!$C$7&lt;&gt;"Yes",'Equipment Analysis'!$C$51=0,V$3&lt;'Equipment Analysis'!$C$8),0,IF(V$3&lt;='Equipment Analysis'!$C$8+11,'Equipment Analysis'!$C$56/12,'Equipment Analysis'!$C$57/12))</f>
        <v>0</v>
      </c>
      <c r="W43" s="35" t="n">
        <f aca="false">IF(OR('Equipment Analysis'!$C$7&lt;&gt;"Yes",'Equipment Analysis'!$C$51=0,W$3&lt;'Equipment Analysis'!$C$8),0,IF(W$3&lt;='Equipment Analysis'!$C$8+11,'Equipment Analysis'!$C$56/12,'Equipment Analysis'!$C$57/12))</f>
        <v>0</v>
      </c>
      <c r="X43" s="35" t="n">
        <f aca="false">IF(OR('Equipment Analysis'!$C$7&lt;&gt;"Yes",'Equipment Analysis'!$C$51=0,X$3&lt;'Equipment Analysis'!$C$8),0,IF(X$3&lt;='Equipment Analysis'!$C$8+11,'Equipment Analysis'!$C$56/12,'Equipment Analysis'!$C$57/12))</f>
        <v>0</v>
      </c>
      <c r="Y43" s="35" t="n">
        <f aca="false">IF(OR('Equipment Analysis'!$C$7&lt;&gt;"Yes",'Equipment Analysis'!$C$51=0,Y$3&lt;'Equipment Analysis'!$C$8),0,IF(Y$3&lt;='Equipment Analysis'!$C$8+11,'Equipment Analysis'!$C$56/12,'Equipment Analysis'!$C$57/12))</f>
        <v>0</v>
      </c>
      <c r="Z43" s="35" t="n">
        <f aca="false">IF(OR('Equipment Analysis'!$C$7&lt;&gt;"Yes",'Equipment Analysis'!$C$51=0,Z$3&lt;'Equipment Analysis'!$C$8),0,IF(Z$3&lt;='Equipment Analysis'!$C$8+11,'Equipment Analysis'!$C$56/12,'Equipment Analysis'!$C$57/12))</f>
        <v>0</v>
      </c>
    </row>
    <row r="44" customFormat="false" ht="15" hidden="false" customHeight="false" outlineLevel="0" collapsed="false">
      <c r="A44" s="36" t="s">
        <v>389</v>
      </c>
      <c r="C44" s="37" t="n">
        <f aca="false">C42-C41-C36-C37</f>
        <v>0</v>
      </c>
      <c r="D44" s="37" t="n">
        <f aca="false">D42-D41-D36-D37</f>
        <v>0</v>
      </c>
      <c r="E44" s="37" t="n">
        <f aca="false">E42-E41-E36-E37</f>
        <v>-209720</v>
      </c>
      <c r="F44" s="37" t="n">
        <f aca="false">F42-F41-F36-F37</f>
        <v>5050</v>
      </c>
      <c r="G44" s="37" t="n">
        <f aca="false">G42-G41-G36-G37</f>
        <v>8300</v>
      </c>
      <c r="H44" s="37" t="n">
        <f aca="false">H42-H41-H36-H37</f>
        <v>11550</v>
      </c>
      <c r="I44" s="37" t="n">
        <f aca="false">I42-I41-I36-I37</f>
        <v>11550</v>
      </c>
      <c r="J44" s="37" t="n">
        <f aca="false">J42-J41-J36-J37</f>
        <v>11550</v>
      </c>
      <c r="K44" s="37" t="n">
        <f aca="false">K42-K41-K36-K37</f>
        <v>11550</v>
      </c>
      <c r="L44" s="37" t="n">
        <f aca="false">L42-L41-L36-L37</f>
        <v>11550</v>
      </c>
      <c r="M44" s="37" t="n">
        <f aca="false">M42-M41-M36-M37</f>
        <v>11550</v>
      </c>
      <c r="N44" s="37" t="n">
        <f aca="false">N42-N41-N36-N37</f>
        <v>11550</v>
      </c>
      <c r="O44" s="37" t="n">
        <f aca="false">O42-O41-O36-O37</f>
        <v>11550</v>
      </c>
      <c r="P44" s="37" t="n">
        <f aca="false">P42-P41-P36-P37</f>
        <v>11550</v>
      </c>
      <c r="Q44" s="37" t="n">
        <f aca="false">Q42-Q41-Q36-Q37</f>
        <v>11550</v>
      </c>
      <c r="R44" s="37" t="n">
        <f aca="false">R42-R41-R36-R37</f>
        <v>11550</v>
      </c>
      <c r="S44" s="37" t="n">
        <f aca="false">S42-S41-S36-S37</f>
        <v>11550</v>
      </c>
      <c r="T44" s="37" t="n">
        <f aca="false">T42-T41-T36-T37</f>
        <v>11550</v>
      </c>
      <c r="U44" s="37" t="n">
        <f aca="false">U42-U41-U36-U37</f>
        <v>11550</v>
      </c>
      <c r="V44" s="37" t="n">
        <f aca="false">V42-V41-V36-V37</f>
        <v>11550</v>
      </c>
      <c r="W44" s="37" t="n">
        <f aca="false">W42-W41-W36-W37</f>
        <v>11550</v>
      </c>
      <c r="X44" s="37" t="n">
        <f aca="false">X42-X41-X36-X37</f>
        <v>11550</v>
      </c>
      <c r="Y44" s="37" t="n">
        <f aca="false">Y42-Y41-Y36-Y37</f>
        <v>11550</v>
      </c>
      <c r="Z44" s="37" t="n">
        <f aca="false">Z42-Z41-Z36-Z37</f>
        <v>11550</v>
      </c>
    </row>
    <row r="45" customFormat="false" ht="15" hidden="false" customHeight="false" outlineLevel="0" collapsed="false">
      <c r="A45" s="11" t="s">
        <v>390</v>
      </c>
      <c r="C45" s="35" t="n">
        <f aca="false">IF(AND('Equipment Analysis'!$D$7="Yes",C$3='Equipment Analysis'!$D$8),'Equipment Analysis'!$D$28,0)</f>
        <v>0</v>
      </c>
      <c r="D45" s="35" t="n">
        <f aca="false">IF(AND('Equipment Analysis'!$D$7="Yes",D$3='Equipment Analysis'!$D$8),'Equipment Analysis'!$D$28,0)</f>
        <v>0</v>
      </c>
      <c r="E45" s="35" t="n">
        <f aca="false">IF(AND('Equipment Analysis'!$D$7="Yes",E$3='Equipment Analysis'!$D$8),'Equipment Analysis'!$D$28,0)</f>
        <v>0</v>
      </c>
      <c r="F45" s="35" t="n">
        <f aca="false">IF(AND('Equipment Analysis'!$D$7="Yes",F$3='Equipment Analysis'!$D$8),'Equipment Analysis'!$D$28,0)</f>
        <v>0</v>
      </c>
      <c r="G45" s="35" t="n">
        <f aca="false">IF(AND('Equipment Analysis'!$D$7="Yes",G$3='Equipment Analysis'!$D$8),'Equipment Analysis'!$D$28,0)</f>
        <v>0</v>
      </c>
      <c r="H45" s="35" t="n">
        <f aca="false">IF(AND('Equipment Analysis'!$D$7="Yes",H$3='Equipment Analysis'!$D$8),'Equipment Analysis'!$D$28,0)</f>
        <v>0</v>
      </c>
      <c r="I45" s="35" t="n">
        <f aca="false">IF(AND('Equipment Analysis'!$D$7="Yes",I$3='Equipment Analysis'!$D$8),'Equipment Analysis'!$D$28,0)</f>
        <v>0</v>
      </c>
      <c r="J45" s="35" t="n">
        <f aca="false">IF(AND('Equipment Analysis'!$D$7="Yes",J$3='Equipment Analysis'!$D$8),'Equipment Analysis'!$D$28,0)</f>
        <v>0</v>
      </c>
      <c r="K45" s="35" t="n">
        <f aca="false">IF(AND('Equipment Analysis'!$D$7="Yes",K$3='Equipment Analysis'!$D$8),'Equipment Analysis'!$D$28,0)</f>
        <v>0</v>
      </c>
      <c r="L45" s="35" t="n">
        <f aca="false">IF(AND('Equipment Analysis'!$D$7="Yes",L$3='Equipment Analysis'!$D$8),'Equipment Analysis'!$D$28,0)</f>
        <v>0</v>
      </c>
      <c r="M45" s="35" t="n">
        <f aca="false">IF(AND('Equipment Analysis'!$D$7="Yes",M$3='Equipment Analysis'!$D$8),'Equipment Analysis'!$D$28,0)</f>
        <v>0</v>
      </c>
      <c r="N45" s="35" t="n">
        <f aca="false">IF(AND('Equipment Analysis'!$D$7="Yes",N$3='Equipment Analysis'!$D$8),'Equipment Analysis'!$D$28,0)</f>
        <v>0</v>
      </c>
      <c r="O45" s="35" t="n">
        <f aca="false">IF(AND('Equipment Analysis'!$D$7="Yes",O$3='Equipment Analysis'!$D$8),'Equipment Analysis'!$D$28,0)</f>
        <v>0</v>
      </c>
      <c r="P45" s="35" t="n">
        <f aca="false">IF(AND('Equipment Analysis'!$D$7="Yes",P$3='Equipment Analysis'!$D$8),'Equipment Analysis'!$D$28,0)</f>
        <v>0</v>
      </c>
      <c r="Q45" s="35" t="n">
        <f aca="false">IF(AND('Equipment Analysis'!$D$7="Yes",Q$3='Equipment Analysis'!$D$8),'Equipment Analysis'!$D$28,0)</f>
        <v>0</v>
      </c>
      <c r="R45" s="35" t="n">
        <f aca="false">IF(AND('Equipment Analysis'!$D$7="Yes",R$3='Equipment Analysis'!$D$8),'Equipment Analysis'!$D$28,0)</f>
        <v>0</v>
      </c>
      <c r="S45" s="35" t="n">
        <f aca="false">IF(AND('Equipment Analysis'!$D$7="Yes",S$3='Equipment Analysis'!$D$8),'Equipment Analysis'!$D$28,0)</f>
        <v>0</v>
      </c>
      <c r="T45" s="35" t="n">
        <f aca="false">IF(AND('Equipment Analysis'!$D$7="Yes",T$3='Equipment Analysis'!$D$8),'Equipment Analysis'!$D$28,0)</f>
        <v>0</v>
      </c>
      <c r="U45" s="35" t="n">
        <f aca="false">IF(AND('Equipment Analysis'!$D$7="Yes",U$3='Equipment Analysis'!$D$8),'Equipment Analysis'!$D$28,0)</f>
        <v>0</v>
      </c>
      <c r="V45" s="35" t="n">
        <f aca="false">IF(AND('Equipment Analysis'!$D$7="Yes",V$3='Equipment Analysis'!$D$8),'Equipment Analysis'!$D$28,0)</f>
        <v>0</v>
      </c>
      <c r="W45" s="35" t="n">
        <f aca="false">IF(AND('Equipment Analysis'!$D$7="Yes",W$3='Equipment Analysis'!$D$8),'Equipment Analysis'!$D$28,0)</f>
        <v>0</v>
      </c>
      <c r="X45" s="35" t="n">
        <f aca="false">IF(AND('Equipment Analysis'!$D$7="Yes",X$3='Equipment Analysis'!$D$8),'Equipment Analysis'!$D$28,0)</f>
        <v>0</v>
      </c>
      <c r="Y45" s="35" t="n">
        <f aca="false">IF(AND('Equipment Analysis'!$D$7="Yes",Y$3='Equipment Analysis'!$D$8),'Equipment Analysis'!$D$28,0)</f>
        <v>0</v>
      </c>
      <c r="Z45" s="35" t="n">
        <f aca="false">IF(AND('Equipment Analysis'!$D$7="Yes",Z$3='Equipment Analysis'!$D$8),'Equipment Analysis'!$D$28,0)</f>
        <v>0</v>
      </c>
    </row>
    <row r="46" customFormat="false" ht="15" hidden="false" customHeight="false" outlineLevel="0" collapsed="false">
      <c r="A46" s="11" t="s">
        <v>391</v>
      </c>
      <c r="C46" s="35" t="n">
        <f aca="false">IF(AND('Equipment Analysis'!$D$7="Yes",C$3='Equipment Analysis'!$D$8,'Equipment Analysis'!$D$19="Loan"),'Equipment Analysis'!$D$22,0)</f>
        <v>0</v>
      </c>
      <c r="D46" s="35" t="n">
        <f aca="false">IF(AND('Equipment Analysis'!$D$7="Yes",D$3='Equipment Analysis'!$D$8,'Equipment Analysis'!$D$19="Loan"),'Equipment Analysis'!$D$22,0)</f>
        <v>0</v>
      </c>
      <c r="E46" s="35" t="n">
        <f aca="false">IF(AND('Equipment Analysis'!$D$7="Yes",E$3='Equipment Analysis'!$D$8,'Equipment Analysis'!$D$19="Loan"),'Equipment Analysis'!$D$22,0)</f>
        <v>0</v>
      </c>
      <c r="F46" s="35" t="n">
        <f aca="false">IF(AND('Equipment Analysis'!$D$7="Yes",F$3='Equipment Analysis'!$D$8,'Equipment Analysis'!$D$19="Loan"),'Equipment Analysis'!$D$22,0)</f>
        <v>0</v>
      </c>
      <c r="G46" s="35" t="n">
        <f aca="false">IF(AND('Equipment Analysis'!$D$7="Yes",G$3='Equipment Analysis'!$D$8,'Equipment Analysis'!$D$19="Loan"),'Equipment Analysis'!$D$22,0)</f>
        <v>0</v>
      </c>
      <c r="H46" s="35" t="n">
        <f aca="false">IF(AND('Equipment Analysis'!$D$7="Yes",H$3='Equipment Analysis'!$D$8,'Equipment Analysis'!$D$19="Loan"),'Equipment Analysis'!$D$22,0)</f>
        <v>0</v>
      </c>
      <c r="I46" s="35" t="n">
        <f aca="false">IF(AND('Equipment Analysis'!$D$7="Yes",I$3='Equipment Analysis'!$D$8,'Equipment Analysis'!$D$19="Loan"),'Equipment Analysis'!$D$22,0)</f>
        <v>0</v>
      </c>
      <c r="J46" s="35" t="n">
        <f aca="false">IF(AND('Equipment Analysis'!$D$7="Yes",J$3='Equipment Analysis'!$D$8,'Equipment Analysis'!$D$19="Loan"),'Equipment Analysis'!$D$22,0)</f>
        <v>0</v>
      </c>
      <c r="K46" s="35" t="n">
        <f aca="false">IF(AND('Equipment Analysis'!$D$7="Yes",K$3='Equipment Analysis'!$D$8,'Equipment Analysis'!$D$19="Loan"),'Equipment Analysis'!$D$22,0)</f>
        <v>0</v>
      </c>
      <c r="L46" s="35" t="n">
        <f aca="false">IF(AND('Equipment Analysis'!$D$7="Yes",L$3='Equipment Analysis'!$D$8,'Equipment Analysis'!$D$19="Loan"),'Equipment Analysis'!$D$22,0)</f>
        <v>0</v>
      </c>
      <c r="M46" s="35" t="n">
        <f aca="false">IF(AND('Equipment Analysis'!$D$7="Yes",M$3='Equipment Analysis'!$D$8,'Equipment Analysis'!$D$19="Loan"),'Equipment Analysis'!$D$22,0)</f>
        <v>0</v>
      </c>
      <c r="N46" s="35" t="n">
        <f aca="false">IF(AND('Equipment Analysis'!$D$7="Yes",N$3='Equipment Analysis'!$D$8,'Equipment Analysis'!$D$19="Loan"),'Equipment Analysis'!$D$22,0)</f>
        <v>0</v>
      </c>
      <c r="O46" s="35" t="n">
        <f aca="false">IF(AND('Equipment Analysis'!$D$7="Yes",O$3='Equipment Analysis'!$D$8,'Equipment Analysis'!$D$19="Loan"),'Equipment Analysis'!$D$22,0)</f>
        <v>0</v>
      </c>
      <c r="P46" s="35" t="n">
        <f aca="false">IF(AND('Equipment Analysis'!$D$7="Yes",P$3='Equipment Analysis'!$D$8,'Equipment Analysis'!$D$19="Loan"),'Equipment Analysis'!$D$22,0)</f>
        <v>0</v>
      </c>
      <c r="Q46" s="35" t="n">
        <f aca="false">IF(AND('Equipment Analysis'!$D$7="Yes",Q$3='Equipment Analysis'!$D$8,'Equipment Analysis'!$D$19="Loan"),'Equipment Analysis'!$D$22,0)</f>
        <v>0</v>
      </c>
      <c r="R46" s="35" t="n">
        <f aca="false">IF(AND('Equipment Analysis'!$D$7="Yes",R$3='Equipment Analysis'!$D$8,'Equipment Analysis'!$D$19="Loan"),'Equipment Analysis'!$D$22,0)</f>
        <v>0</v>
      </c>
      <c r="S46" s="35" t="n">
        <f aca="false">IF(AND('Equipment Analysis'!$D$7="Yes",S$3='Equipment Analysis'!$D$8,'Equipment Analysis'!$D$19="Loan"),'Equipment Analysis'!$D$22,0)</f>
        <v>0</v>
      </c>
      <c r="T46" s="35" t="n">
        <f aca="false">IF(AND('Equipment Analysis'!$D$7="Yes",T$3='Equipment Analysis'!$D$8,'Equipment Analysis'!$D$19="Loan"),'Equipment Analysis'!$D$22,0)</f>
        <v>0</v>
      </c>
      <c r="U46" s="35" t="n">
        <f aca="false">IF(AND('Equipment Analysis'!$D$7="Yes",U$3='Equipment Analysis'!$D$8,'Equipment Analysis'!$D$19="Loan"),'Equipment Analysis'!$D$22,0)</f>
        <v>0</v>
      </c>
      <c r="V46" s="35" t="n">
        <f aca="false">IF(AND('Equipment Analysis'!$D$7="Yes",V$3='Equipment Analysis'!$D$8,'Equipment Analysis'!$D$19="Loan"),'Equipment Analysis'!$D$22,0)</f>
        <v>0</v>
      </c>
      <c r="W46" s="35" t="n">
        <f aca="false">IF(AND('Equipment Analysis'!$D$7="Yes",W$3='Equipment Analysis'!$D$8,'Equipment Analysis'!$D$19="Loan"),'Equipment Analysis'!$D$22,0)</f>
        <v>0</v>
      </c>
      <c r="X46" s="35" t="n">
        <f aca="false">IF(AND('Equipment Analysis'!$D$7="Yes",X$3='Equipment Analysis'!$D$8,'Equipment Analysis'!$D$19="Loan"),'Equipment Analysis'!$D$22,0)</f>
        <v>0</v>
      </c>
      <c r="Y46" s="35" t="n">
        <f aca="false">IF(AND('Equipment Analysis'!$D$7="Yes",Y$3='Equipment Analysis'!$D$8,'Equipment Analysis'!$D$19="Loan"),'Equipment Analysis'!$D$22,0)</f>
        <v>0</v>
      </c>
      <c r="Z46" s="35" t="n">
        <f aca="false">IF(AND('Equipment Analysis'!$D$7="Yes",Z$3='Equipment Analysis'!$D$8,'Equipment Analysis'!$D$19="Loan"),'Equipment Analysis'!$D$22,0)</f>
        <v>0</v>
      </c>
    </row>
    <row r="47" customFormat="false" ht="15" hidden="false" customHeight="false" outlineLevel="0" collapsed="false">
      <c r="A47" s="11" t="s">
        <v>392</v>
      </c>
      <c r="C47" s="35" t="n">
        <f aca="false">IF(AND('Equipment Analysis'!$D$7="Yes",'Equipment Analysis'!$D$19="Loan",C$3&gt;='Equipment Analysis'!$D$8,C$3&lt;='Equipment Analysis'!$D$8+'Equipment Analysis'!$D$24-1),'Equipment Analysis'!$D$25,0)</f>
        <v>0</v>
      </c>
      <c r="D47" s="35" t="n">
        <f aca="false">IF(AND('Equipment Analysis'!$D$7="Yes",'Equipment Analysis'!$D$19="Loan",D$3&gt;='Equipment Analysis'!$D$8,D$3&lt;='Equipment Analysis'!$D$8+'Equipment Analysis'!$D$24-1),'Equipment Analysis'!$D$25,0)</f>
        <v>0</v>
      </c>
      <c r="E47" s="35" t="n">
        <f aca="false">IF(AND('Equipment Analysis'!$D$7="Yes",'Equipment Analysis'!$D$19="Loan",E$3&gt;='Equipment Analysis'!$D$8,E$3&lt;='Equipment Analysis'!$D$8+'Equipment Analysis'!$D$24-1),'Equipment Analysis'!$D$25,0)</f>
        <v>0</v>
      </c>
      <c r="F47" s="35" t="n">
        <f aca="false">IF(AND('Equipment Analysis'!$D$7="Yes",'Equipment Analysis'!$D$19="Loan",F$3&gt;='Equipment Analysis'!$D$8,F$3&lt;='Equipment Analysis'!$D$8+'Equipment Analysis'!$D$24-1),'Equipment Analysis'!$D$25,0)</f>
        <v>0</v>
      </c>
      <c r="G47" s="35" t="n">
        <f aca="false">IF(AND('Equipment Analysis'!$D$7="Yes",'Equipment Analysis'!$D$19="Loan",G$3&gt;='Equipment Analysis'!$D$8,G$3&lt;='Equipment Analysis'!$D$8+'Equipment Analysis'!$D$24-1),'Equipment Analysis'!$D$25,0)</f>
        <v>0</v>
      </c>
      <c r="H47" s="35" t="n">
        <f aca="false">IF(AND('Equipment Analysis'!$D$7="Yes",'Equipment Analysis'!$D$19="Loan",H$3&gt;='Equipment Analysis'!$D$8,H$3&lt;='Equipment Analysis'!$D$8+'Equipment Analysis'!$D$24-1),'Equipment Analysis'!$D$25,0)</f>
        <v>0</v>
      </c>
      <c r="I47" s="35" t="n">
        <f aca="false">IF(AND('Equipment Analysis'!$D$7="Yes",'Equipment Analysis'!$D$19="Loan",I$3&gt;='Equipment Analysis'!$D$8,I$3&lt;='Equipment Analysis'!$D$8+'Equipment Analysis'!$D$24-1),'Equipment Analysis'!$D$25,0)</f>
        <v>0</v>
      </c>
      <c r="J47" s="35" t="n">
        <f aca="false">IF(AND('Equipment Analysis'!$D$7="Yes",'Equipment Analysis'!$D$19="Loan",J$3&gt;='Equipment Analysis'!$D$8,J$3&lt;='Equipment Analysis'!$D$8+'Equipment Analysis'!$D$24-1),'Equipment Analysis'!$D$25,0)</f>
        <v>0</v>
      </c>
      <c r="K47" s="35" t="n">
        <f aca="false">IF(AND('Equipment Analysis'!$D$7="Yes",'Equipment Analysis'!$D$19="Loan",K$3&gt;='Equipment Analysis'!$D$8,K$3&lt;='Equipment Analysis'!$D$8+'Equipment Analysis'!$D$24-1),'Equipment Analysis'!$D$25,0)</f>
        <v>0</v>
      </c>
      <c r="L47" s="35" t="n">
        <f aca="false">IF(AND('Equipment Analysis'!$D$7="Yes",'Equipment Analysis'!$D$19="Loan",L$3&gt;='Equipment Analysis'!$D$8,L$3&lt;='Equipment Analysis'!$D$8+'Equipment Analysis'!$D$24-1),'Equipment Analysis'!$D$25,0)</f>
        <v>0</v>
      </c>
      <c r="M47" s="35" t="n">
        <f aca="false">IF(AND('Equipment Analysis'!$D$7="Yes",'Equipment Analysis'!$D$19="Loan",M$3&gt;='Equipment Analysis'!$D$8,M$3&lt;='Equipment Analysis'!$D$8+'Equipment Analysis'!$D$24-1),'Equipment Analysis'!$D$25,0)</f>
        <v>0</v>
      </c>
      <c r="N47" s="35" t="n">
        <f aca="false">IF(AND('Equipment Analysis'!$D$7="Yes",'Equipment Analysis'!$D$19="Loan",N$3&gt;='Equipment Analysis'!$D$8,N$3&lt;='Equipment Analysis'!$D$8+'Equipment Analysis'!$D$24-1),'Equipment Analysis'!$D$25,0)</f>
        <v>0</v>
      </c>
      <c r="O47" s="35" t="n">
        <f aca="false">IF(AND('Equipment Analysis'!$D$7="Yes",'Equipment Analysis'!$D$19="Loan",O$3&gt;='Equipment Analysis'!$D$8,O$3&lt;='Equipment Analysis'!$D$8+'Equipment Analysis'!$D$24-1),'Equipment Analysis'!$D$25,0)</f>
        <v>0</v>
      </c>
      <c r="P47" s="35" t="n">
        <f aca="false">IF(AND('Equipment Analysis'!$D$7="Yes",'Equipment Analysis'!$D$19="Loan",P$3&gt;='Equipment Analysis'!$D$8,P$3&lt;='Equipment Analysis'!$D$8+'Equipment Analysis'!$D$24-1),'Equipment Analysis'!$D$25,0)</f>
        <v>0</v>
      </c>
      <c r="Q47" s="35" t="n">
        <f aca="false">IF(AND('Equipment Analysis'!$D$7="Yes",'Equipment Analysis'!$D$19="Loan",Q$3&gt;='Equipment Analysis'!$D$8,Q$3&lt;='Equipment Analysis'!$D$8+'Equipment Analysis'!$D$24-1),'Equipment Analysis'!$D$25,0)</f>
        <v>0</v>
      </c>
      <c r="R47" s="35" t="n">
        <f aca="false">IF(AND('Equipment Analysis'!$D$7="Yes",'Equipment Analysis'!$D$19="Loan",R$3&gt;='Equipment Analysis'!$D$8,R$3&lt;='Equipment Analysis'!$D$8+'Equipment Analysis'!$D$24-1),'Equipment Analysis'!$D$25,0)</f>
        <v>0</v>
      </c>
      <c r="S47" s="35" t="n">
        <f aca="false">IF(AND('Equipment Analysis'!$D$7="Yes",'Equipment Analysis'!$D$19="Loan",S$3&gt;='Equipment Analysis'!$D$8,S$3&lt;='Equipment Analysis'!$D$8+'Equipment Analysis'!$D$24-1),'Equipment Analysis'!$D$25,0)</f>
        <v>0</v>
      </c>
      <c r="T47" s="35" t="n">
        <f aca="false">IF(AND('Equipment Analysis'!$D$7="Yes",'Equipment Analysis'!$D$19="Loan",T$3&gt;='Equipment Analysis'!$D$8,T$3&lt;='Equipment Analysis'!$D$8+'Equipment Analysis'!$D$24-1),'Equipment Analysis'!$D$25,0)</f>
        <v>0</v>
      </c>
      <c r="U47" s="35" t="n">
        <f aca="false">IF(AND('Equipment Analysis'!$D$7="Yes",'Equipment Analysis'!$D$19="Loan",U$3&gt;='Equipment Analysis'!$D$8,U$3&lt;='Equipment Analysis'!$D$8+'Equipment Analysis'!$D$24-1),'Equipment Analysis'!$D$25,0)</f>
        <v>0</v>
      </c>
      <c r="V47" s="35" t="n">
        <f aca="false">IF(AND('Equipment Analysis'!$D$7="Yes",'Equipment Analysis'!$D$19="Loan",V$3&gt;='Equipment Analysis'!$D$8,V$3&lt;='Equipment Analysis'!$D$8+'Equipment Analysis'!$D$24-1),'Equipment Analysis'!$D$25,0)</f>
        <v>0</v>
      </c>
      <c r="W47" s="35" t="n">
        <f aca="false">IF(AND('Equipment Analysis'!$D$7="Yes",'Equipment Analysis'!$D$19="Loan",W$3&gt;='Equipment Analysis'!$D$8,W$3&lt;='Equipment Analysis'!$D$8+'Equipment Analysis'!$D$24-1),'Equipment Analysis'!$D$25,0)</f>
        <v>0</v>
      </c>
      <c r="X47" s="35" t="n">
        <f aca="false">IF(AND('Equipment Analysis'!$D$7="Yes",'Equipment Analysis'!$D$19="Loan",X$3&gt;='Equipment Analysis'!$D$8,X$3&lt;='Equipment Analysis'!$D$8+'Equipment Analysis'!$D$24-1),'Equipment Analysis'!$D$25,0)</f>
        <v>0</v>
      </c>
      <c r="Y47" s="35" t="n">
        <f aca="false">IF(AND('Equipment Analysis'!$D$7="Yes",'Equipment Analysis'!$D$19="Loan",Y$3&gt;='Equipment Analysis'!$D$8,Y$3&lt;='Equipment Analysis'!$D$8+'Equipment Analysis'!$D$24-1),'Equipment Analysis'!$D$25,0)</f>
        <v>0</v>
      </c>
      <c r="Z47" s="35" t="n">
        <f aca="false">IF(AND('Equipment Analysis'!$D$7="Yes",'Equipment Analysis'!$D$19="Loan",Z$3&gt;='Equipment Analysis'!$D$8,Z$3&lt;='Equipment Analysis'!$D$8+'Equipment Analysis'!$D$24-1),'Equipment Analysis'!$D$25,0)</f>
        <v>0</v>
      </c>
    </row>
    <row r="48" customFormat="false" ht="15" hidden="false" customHeight="false" outlineLevel="0" collapsed="false">
      <c r="A48" s="11" t="s">
        <v>393</v>
      </c>
      <c r="C48" s="35" t="n">
        <f aca="false">IF(C47=0,0,-IPMT('Equipment Analysis'!$D$23/12,C$3-'Equipment Analysis'!$D$8+1,'Equipment Analysis'!$D$24,'Equipment Analysis'!$D$22))</f>
        <v>0</v>
      </c>
      <c r="D48" s="35" t="n">
        <f aca="false">IF(D47=0,0,-IPMT('Equipment Analysis'!$D$23/12,D$3-'Equipment Analysis'!$D$8+1,'Equipment Analysis'!$D$24,'Equipment Analysis'!$D$22))</f>
        <v>0</v>
      </c>
      <c r="E48" s="35" t="n">
        <f aca="false">IF(E47=0,0,-IPMT('Equipment Analysis'!$D$23/12,E$3-'Equipment Analysis'!$D$8+1,'Equipment Analysis'!$D$24,'Equipment Analysis'!$D$22))</f>
        <v>0</v>
      </c>
      <c r="F48" s="35" t="n">
        <f aca="false">IF(F47=0,0,-IPMT('Equipment Analysis'!$D$23/12,F$3-'Equipment Analysis'!$D$8+1,'Equipment Analysis'!$D$24,'Equipment Analysis'!$D$22))</f>
        <v>0</v>
      </c>
      <c r="G48" s="35" t="n">
        <f aca="false">IF(G47=0,0,-IPMT('Equipment Analysis'!$D$23/12,G$3-'Equipment Analysis'!$D$8+1,'Equipment Analysis'!$D$24,'Equipment Analysis'!$D$22))</f>
        <v>0</v>
      </c>
      <c r="H48" s="35" t="n">
        <f aca="false">IF(H47=0,0,-IPMT('Equipment Analysis'!$D$23/12,H$3-'Equipment Analysis'!$D$8+1,'Equipment Analysis'!$D$24,'Equipment Analysis'!$D$22))</f>
        <v>0</v>
      </c>
      <c r="I48" s="35" t="n">
        <f aca="false">IF(I47=0,0,-IPMT('Equipment Analysis'!$D$23/12,I$3-'Equipment Analysis'!$D$8+1,'Equipment Analysis'!$D$24,'Equipment Analysis'!$D$22))</f>
        <v>0</v>
      </c>
      <c r="J48" s="35" t="n">
        <f aca="false">IF(J47=0,0,-IPMT('Equipment Analysis'!$D$23/12,J$3-'Equipment Analysis'!$D$8+1,'Equipment Analysis'!$D$24,'Equipment Analysis'!$D$22))</f>
        <v>0</v>
      </c>
      <c r="K48" s="35" t="n">
        <f aca="false">IF(K47=0,0,-IPMT('Equipment Analysis'!$D$23/12,K$3-'Equipment Analysis'!$D$8+1,'Equipment Analysis'!$D$24,'Equipment Analysis'!$D$22))</f>
        <v>0</v>
      </c>
      <c r="L48" s="35" t="n">
        <f aca="false">IF(L47=0,0,-IPMT('Equipment Analysis'!$D$23/12,L$3-'Equipment Analysis'!$D$8+1,'Equipment Analysis'!$D$24,'Equipment Analysis'!$D$22))</f>
        <v>0</v>
      </c>
      <c r="M48" s="35" t="n">
        <f aca="false">IF(M47=0,0,-IPMT('Equipment Analysis'!$D$23/12,M$3-'Equipment Analysis'!$D$8+1,'Equipment Analysis'!$D$24,'Equipment Analysis'!$D$22))</f>
        <v>0</v>
      </c>
      <c r="N48" s="35" t="n">
        <f aca="false">IF(N47=0,0,-IPMT('Equipment Analysis'!$D$23/12,N$3-'Equipment Analysis'!$D$8+1,'Equipment Analysis'!$D$24,'Equipment Analysis'!$D$22))</f>
        <v>0</v>
      </c>
      <c r="O48" s="35" t="n">
        <f aca="false">IF(O47=0,0,-IPMT('Equipment Analysis'!$D$23/12,O$3-'Equipment Analysis'!$D$8+1,'Equipment Analysis'!$D$24,'Equipment Analysis'!$D$22))</f>
        <v>0</v>
      </c>
      <c r="P48" s="35" t="n">
        <f aca="false">IF(P47=0,0,-IPMT('Equipment Analysis'!$D$23/12,P$3-'Equipment Analysis'!$D$8+1,'Equipment Analysis'!$D$24,'Equipment Analysis'!$D$22))</f>
        <v>0</v>
      </c>
      <c r="Q48" s="35" t="n">
        <f aca="false">IF(Q47=0,0,-IPMT('Equipment Analysis'!$D$23/12,Q$3-'Equipment Analysis'!$D$8+1,'Equipment Analysis'!$D$24,'Equipment Analysis'!$D$22))</f>
        <v>0</v>
      </c>
      <c r="R48" s="35" t="n">
        <f aca="false">IF(R47=0,0,-IPMT('Equipment Analysis'!$D$23/12,R$3-'Equipment Analysis'!$D$8+1,'Equipment Analysis'!$D$24,'Equipment Analysis'!$D$22))</f>
        <v>0</v>
      </c>
      <c r="S48" s="35" t="n">
        <f aca="false">IF(S47=0,0,-IPMT('Equipment Analysis'!$D$23/12,S$3-'Equipment Analysis'!$D$8+1,'Equipment Analysis'!$D$24,'Equipment Analysis'!$D$22))</f>
        <v>0</v>
      </c>
      <c r="T48" s="35" t="n">
        <f aca="false">IF(T47=0,0,-IPMT('Equipment Analysis'!$D$23/12,T$3-'Equipment Analysis'!$D$8+1,'Equipment Analysis'!$D$24,'Equipment Analysis'!$D$22))</f>
        <v>0</v>
      </c>
      <c r="U48" s="35" t="n">
        <f aca="false">IF(U47=0,0,-IPMT('Equipment Analysis'!$D$23/12,U$3-'Equipment Analysis'!$D$8+1,'Equipment Analysis'!$D$24,'Equipment Analysis'!$D$22))</f>
        <v>0</v>
      </c>
      <c r="V48" s="35" t="n">
        <f aca="false">IF(V47=0,0,-IPMT('Equipment Analysis'!$D$23/12,V$3-'Equipment Analysis'!$D$8+1,'Equipment Analysis'!$D$24,'Equipment Analysis'!$D$22))</f>
        <v>0</v>
      </c>
      <c r="W48" s="35" t="n">
        <f aca="false">IF(W47=0,0,-IPMT('Equipment Analysis'!$D$23/12,W$3-'Equipment Analysis'!$D$8+1,'Equipment Analysis'!$D$24,'Equipment Analysis'!$D$22))</f>
        <v>0</v>
      </c>
      <c r="X48" s="35" t="n">
        <f aca="false">IF(X47=0,0,-IPMT('Equipment Analysis'!$D$23/12,X$3-'Equipment Analysis'!$D$8+1,'Equipment Analysis'!$D$24,'Equipment Analysis'!$D$22))</f>
        <v>0</v>
      </c>
      <c r="Y48" s="35" t="n">
        <f aca="false">IF(Y47=0,0,-IPMT('Equipment Analysis'!$D$23/12,Y$3-'Equipment Analysis'!$D$8+1,'Equipment Analysis'!$D$24,'Equipment Analysis'!$D$22))</f>
        <v>0</v>
      </c>
      <c r="Z48" s="35" t="n">
        <f aca="false">IF(Z47=0,0,-IPMT('Equipment Analysis'!$D$23/12,Z$3-'Equipment Analysis'!$D$8+1,'Equipment Analysis'!$D$24,'Equipment Analysis'!$D$22))</f>
        <v>0</v>
      </c>
    </row>
    <row r="49" customFormat="false" ht="15" hidden="false" customHeight="false" outlineLevel="0" collapsed="false">
      <c r="A49" s="11" t="s">
        <v>394</v>
      </c>
      <c r="C49" s="35" t="n">
        <f aca="false">C47-C48</f>
        <v>0</v>
      </c>
      <c r="D49" s="35" t="n">
        <f aca="false">D47-D48</f>
        <v>0</v>
      </c>
      <c r="E49" s="35" t="n">
        <f aca="false">E47-E48</f>
        <v>0</v>
      </c>
      <c r="F49" s="35" t="n">
        <f aca="false">F47-F48</f>
        <v>0</v>
      </c>
      <c r="G49" s="35" t="n">
        <f aca="false">G47-G48</f>
        <v>0</v>
      </c>
      <c r="H49" s="35" t="n">
        <f aca="false">H47-H48</f>
        <v>0</v>
      </c>
      <c r="I49" s="35" t="n">
        <f aca="false">I47-I48</f>
        <v>0</v>
      </c>
      <c r="J49" s="35" t="n">
        <f aca="false">J47-J48</f>
        <v>0</v>
      </c>
      <c r="K49" s="35" t="n">
        <f aca="false">K47-K48</f>
        <v>0</v>
      </c>
      <c r="L49" s="35" t="n">
        <f aca="false">L47-L48</f>
        <v>0</v>
      </c>
      <c r="M49" s="35" t="n">
        <f aca="false">M47-M48</f>
        <v>0</v>
      </c>
      <c r="N49" s="35" t="n">
        <f aca="false">N47-N48</f>
        <v>0</v>
      </c>
      <c r="O49" s="35" t="n">
        <f aca="false">O47-O48</f>
        <v>0</v>
      </c>
      <c r="P49" s="35" t="n">
        <f aca="false">P47-P48</f>
        <v>0</v>
      </c>
      <c r="Q49" s="35" t="n">
        <f aca="false">Q47-Q48</f>
        <v>0</v>
      </c>
      <c r="R49" s="35" t="n">
        <f aca="false">R47-R48</f>
        <v>0</v>
      </c>
      <c r="S49" s="35" t="n">
        <f aca="false">S47-S48</f>
        <v>0</v>
      </c>
      <c r="T49" s="35" t="n">
        <f aca="false">T47-T48</f>
        <v>0</v>
      </c>
      <c r="U49" s="35" t="n">
        <f aca="false">U47-U48</f>
        <v>0</v>
      </c>
      <c r="V49" s="35" t="n">
        <f aca="false">V47-V48</f>
        <v>0</v>
      </c>
      <c r="W49" s="35" t="n">
        <f aca="false">W47-W48</f>
        <v>0</v>
      </c>
      <c r="X49" s="35" t="n">
        <f aca="false">X47-X48</f>
        <v>0</v>
      </c>
      <c r="Y49" s="35" t="n">
        <f aca="false">Y47-Y48</f>
        <v>0</v>
      </c>
      <c r="Z49" s="35" t="n">
        <f aca="false">Z47-Z48</f>
        <v>0</v>
      </c>
    </row>
    <row r="50" customFormat="false" ht="15" hidden="false" customHeight="false" outlineLevel="0" collapsed="false">
      <c r="A50" s="11" t="s">
        <v>395</v>
      </c>
      <c r="C50" s="35" t="n">
        <f aca="false">IF(AND('Equipment Analysis'!$D$7="Yes",C$3&gt;='Equipment Analysis'!$D$8),('Equipment Analysis'!$D$38+IF(AND('Equipment Analysis'!$D$19="Lease",C$3&lt;='Equipment Analysis'!$D$8+'Equipment Analysis'!$D$27-1),'Equipment Analysis'!$D$26,0))*Assumptions!$B$62,0)</f>
        <v>0</v>
      </c>
      <c r="D50" s="35" t="n">
        <f aca="false">IF(AND('Equipment Analysis'!$D$7="Yes",D$3&gt;='Equipment Analysis'!$D$8),('Equipment Analysis'!$D$38+IF(AND('Equipment Analysis'!$D$19="Lease",D$3&lt;='Equipment Analysis'!$D$8+'Equipment Analysis'!$D$27-1),'Equipment Analysis'!$D$26,0))*Assumptions!$B$62,0)</f>
        <v>0</v>
      </c>
      <c r="E50" s="35" t="n">
        <f aca="false">IF(AND('Equipment Analysis'!$D$7="Yes",E$3&gt;='Equipment Analysis'!$D$8),('Equipment Analysis'!$D$38+IF(AND('Equipment Analysis'!$D$19="Lease",E$3&lt;='Equipment Analysis'!$D$8+'Equipment Analysis'!$D$27-1),'Equipment Analysis'!$D$26,0))*Assumptions!$B$62,0)</f>
        <v>0</v>
      </c>
      <c r="F50" s="35" t="n">
        <f aca="false">IF(AND('Equipment Analysis'!$D$7="Yes",F$3&gt;='Equipment Analysis'!$D$8),('Equipment Analysis'!$D$38+IF(AND('Equipment Analysis'!$D$19="Lease",F$3&lt;='Equipment Analysis'!$D$8+'Equipment Analysis'!$D$27-1),'Equipment Analysis'!$D$26,0))*Assumptions!$B$62,0)</f>
        <v>0</v>
      </c>
      <c r="G50" s="35" t="n">
        <f aca="false">IF(AND('Equipment Analysis'!$D$7="Yes",G$3&gt;='Equipment Analysis'!$D$8),('Equipment Analysis'!$D$38+IF(AND('Equipment Analysis'!$D$19="Lease",G$3&lt;='Equipment Analysis'!$D$8+'Equipment Analysis'!$D$27-1),'Equipment Analysis'!$D$26,0))*Assumptions!$B$62,0)</f>
        <v>0</v>
      </c>
      <c r="H50" s="35" t="n">
        <f aca="false">IF(AND('Equipment Analysis'!$D$7="Yes",H$3&gt;='Equipment Analysis'!$D$8),('Equipment Analysis'!$D$38+IF(AND('Equipment Analysis'!$D$19="Lease",H$3&lt;='Equipment Analysis'!$D$8+'Equipment Analysis'!$D$27-1),'Equipment Analysis'!$D$26,0))*Assumptions!$B$62,0)</f>
        <v>0</v>
      </c>
      <c r="I50" s="35" t="n">
        <f aca="false">IF(AND('Equipment Analysis'!$D$7="Yes",I$3&gt;='Equipment Analysis'!$D$8),('Equipment Analysis'!$D$38+IF(AND('Equipment Analysis'!$D$19="Lease",I$3&lt;='Equipment Analysis'!$D$8+'Equipment Analysis'!$D$27-1),'Equipment Analysis'!$D$26,0))*Assumptions!$B$62,0)</f>
        <v>0</v>
      </c>
      <c r="J50" s="35" t="n">
        <f aca="false">IF(AND('Equipment Analysis'!$D$7="Yes",J$3&gt;='Equipment Analysis'!$D$8),('Equipment Analysis'!$D$38+IF(AND('Equipment Analysis'!$D$19="Lease",J$3&lt;='Equipment Analysis'!$D$8+'Equipment Analysis'!$D$27-1),'Equipment Analysis'!$D$26,0))*Assumptions!$B$62,0)</f>
        <v>0</v>
      </c>
      <c r="K50" s="35" t="n">
        <f aca="false">IF(AND('Equipment Analysis'!$D$7="Yes",K$3&gt;='Equipment Analysis'!$D$8),('Equipment Analysis'!$D$38+IF(AND('Equipment Analysis'!$D$19="Lease",K$3&lt;='Equipment Analysis'!$D$8+'Equipment Analysis'!$D$27-1),'Equipment Analysis'!$D$26,0))*Assumptions!$B$62,0)</f>
        <v>0</v>
      </c>
      <c r="L50" s="35" t="n">
        <f aca="false">IF(AND('Equipment Analysis'!$D$7="Yes",L$3&gt;='Equipment Analysis'!$D$8),('Equipment Analysis'!$D$38+IF(AND('Equipment Analysis'!$D$19="Lease",L$3&lt;='Equipment Analysis'!$D$8+'Equipment Analysis'!$D$27-1),'Equipment Analysis'!$D$26,0))*Assumptions!$B$62,0)</f>
        <v>0</v>
      </c>
      <c r="M50" s="35" t="n">
        <f aca="false">IF(AND('Equipment Analysis'!$D$7="Yes",M$3&gt;='Equipment Analysis'!$D$8),('Equipment Analysis'!$D$38+IF(AND('Equipment Analysis'!$D$19="Lease",M$3&lt;='Equipment Analysis'!$D$8+'Equipment Analysis'!$D$27-1),'Equipment Analysis'!$D$26,0))*Assumptions!$B$62,0)</f>
        <v>0</v>
      </c>
      <c r="N50" s="35" t="n">
        <f aca="false">IF(AND('Equipment Analysis'!$D$7="Yes",N$3&gt;='Equipment Analysis'!$D$8),('Equipment Analysis'!$D$38+IF(AND('Equipment Analysis'!$D$19="Lease",N$3&lt;='Equipment Analysis'!$D$8+'Equipment Analysis'!$D$27-1),'Equipment Analysis'!$D$26,0))*Assumptions!$B$62,0)</f>
        <v>0</v>
      </c>
      <c r="O50" s="35" t="n">
        <f aca="false">IF(AND('Equipment Analysis'!$D$7="Yes",O$3&gt;='Equipment Analysis'!$D$8),('Equipment Analysis'!$D$38+IF(AND('Equipment Analysis'!$D$19="Lease",O$3&lt;='Equipment Analysis'!$D$8+'Equipment Analysis'!$D$27-1),'Equipment Analysis'!$D$26,0))*Assumptions!$B$62,0)</f>
        <v>0</v>
      </c>
      <c r="P50" s="35" t="n">
        <f aca="false">IF(AND('Equipment Analysis'!$D$7="Yes",P$3&gt;='Equipment Analysis'!$D$8),('Equipment Analysis'!$D$38+IF(AND('Equipment Analysis'!$D$19="Lease",P$3&lt;='Equipment Analysis'!$D$8+'Equipment Analysis'!$D$27-1),'Equipment Analysis'!$D$26,0))*Assumptions!$B$62,0)</f>
        <v>0</v>
      </c>
      <c r="Q50" s="35" t="n">
        <f aca="false">IF(AND('Equipment Analysis'!$D$7="Yes",Q$3&gt;='Equipment Analysis'!$D$8),('Equipment Analysis'!$D$38+IF(AND('Equipment Analysis'!$D$19="Lease",Q$3&lt;='Equipment Analysis'!$D$8+'Equipment Analysis'!$D$27-1),'Equipment Analysis'!$D$26,0))*Assumptions!$B$62,0)</f>
        <v>0</v>
      </c>
      <c r="R50" s="35" t="n">
        <f aca="false">IF(AND('Equipment Analysis'!$D$7="Yes",R$3&gt;='Equipment Analysis'!$D$8),('Equipment Analysis'!$D$38+IF(AND('Equipment Analysis'!$D$19="Lease",R$3&lt;='Equipment Analysis'!$D$8+'Equipment Analysis'!$D$27-1),'Equipment Analysis'!$D$26,0))*Assumptions!$B$62,0)</f>
        <v>0</v>
      </c>
      <c r="S50" s="35" t="n">
        <f aca="false">IF(AND('Equipment Analysis'!$D$7="Yes",S$3&gt;='Equipment Analysis'!$D$8),('Equipment Analysis'!$D$38+IF(AND('Equipment Analysis'!$D$19="Lease",S$3&lt;='Equipment Analysis'!$D$8+'Equipment Analysis'!$D$27-1),'Equipment Analysis'!$D$26,0))*Assumptions!$B$62,0)</f>
        <v>0</v>
      </c>
      <c r="T50" s="35" t="n">
        <f aca="false">IF(AND('Equipment Analysis'!$D$7="Yes",T$3&gt;='Equipment Analysis'!$D$8),('Equipment Analysis'!$D$38+IF(AND('Equipment Analysis'!$D$19="Lease",T$3&lt;='Equipment Analysis'!$D$8+'Equipment Analysis'!$D$27-1),'Equipment Analysis'!$D$26,0))*Assumptions!$B$62,0)</f>
        <v>0</v>
      </c>
      <c r="U50" s="35" t="n">
        <f aca="false">IF(AND('Equipment Analysis'!$D$7="Yes",U$3&gt;='Equipment Analysis'!$D$8),('Equipment Analysis'!$D$38+IF(AND('Equipment Analysis'!$D$19="Lease",U$3&lt;='Equipment Analysis'!$D$8+'Equipment Analysis'!$D$27-1),'Equipment Analysis'!$D$26,0))*Assumptions!$B$62,0)</f>
        <v>0</v>
      </c>
      <c r="V50" s="35" t="n">
        <f aca="false">IF(AND('Equipment Analysis'!$D$7="Yes",V$3&gt;='Equipment Analysis'!$D$8),('Equipment Analysis'!$D$38+IF(AND('Equipment Analysis'!$D$19="Lease",V$3&lt;='Equipment Analysis'!$D$8+'Equipment Analysis'!$D$27-1),'Equipment Analysis'!$D$26,0))*Assumptions!$B$62,0)</f>
        <v>0</v>
      </c>
      <c r="W50" s="35" t="n">
        <f aca="false">IF(AND('Equipment Analysis'!$D$7="Yes",W$3&gt;='Equipment Analysis'!$D$8),('Equipment Analysis'!$D$38+IF(AND('Equipment Analysis'!$D$19="Lease",W$3&lt;='Equipment Analysis'!$D$8+'Equipment Analysis'!$D$27-1),'Equipment Analysis'!$D$26,0))*Assumptions!$B$62,0)</f>
        <v>0</v>
      </c>
      <c r="X50" s="35" t="n">
        <f aca="false">IF(AND('Equipment Analysis'!$D$7="Yes",X$3&gt;='Equipment Analysis'!$D$8),('Equipment Analysis'!$D$38+IF(AND('Equipment Analysis'!$D$19="Lease",X$3&lt;='Equipment Analysis'!$D$8+'Equipment Analysis'!$D$27-1),'Equipment Analysis'!$D$26,0))*Assumptions!$B$62,0)</f>
        <v>0</v>
      </c>
      <c r="Y50" s="35" t="n">
        <f aca="false">IF(AND('Equipment Analysis'!$D$7="Yes",Y$3&gt;='Equipment Analysis'!$D$8),('Equipment Analysis'!$D$38+IF(AND('Equipment Analysis'!$D$19="Lease",Y$3&lt;='Equipment Analysis'!$D$8+'Equipment Analysis'!$D$27-1),'Equipment Analysis'!$D$26,0))*Assumptions!$B$62,0)</f>
        <v>0</v>
      </c>
      <c r="Z50" s="35" t="n">
        <f aca="false">IF(AND('Equipment Analysis'!$D$7="Yes",Z$3&gt;='Equipment Analysis'!$D$8),('Equipment Analysis'!$D$38+IF(AND('Equipment Analysis'!$D$19="Lease",Z$3&lt;='Equipment Analysis'!$D$8+'Equipment Analysis'!$D$27-1),'Equipment Analysis'!$D$26,0))*Assumptions!$B$62,0)</f>
        <v>0</v>
      </c>
    </row>
    <row r="51" customFormat="false" ht="15" hidden="false" customHeight="false" outlineLevel="0" collapsed="false">
      <c r="A51" s="11" t="s">
        <v>396</v>
      </c>
      <c r="C51" s="35" t="n">
        <f aca="false">IF(AND('Equipment Analysis'!$D$7="Yes",C$3&gt;='Equipment Analysis'!$D$8),'Equipment Analysis'!$D$47/12*MIN(1,(C$3-'Equipment Analysis'!$D$8+1)/MAX(1,'Equipment Analysis'!$D$48))*Assumptions!$B$61,0)</f>
        <v>0</v>
      </c>
      <c r="D51" s="35" t="n">
        <f aca="false">IF(AND('Equipment Analysis'!$D$7="Yes",D$3&gt;='Equipment Analysis'!$D$8),'Equipment Analysis'!$D$47/12*MIN(1,(D$3-'Equipment Analysis'!$D$8+1)/MAX(1,'Equipment Analysis'!$D$48))*Assumptions!$B$61,0)</f>
        <v>0</v>
      </c>
      <c r="E51" s="35" t="n">
        <f aca="false">IF(AND('Equipment Analysis'!$D$7="Yes",E$3&gt;='Equipment Analysis'!$D$8),'Equipment Analysis'!$D$47/12*MIN(1,(E$3-'Equipment Analysis'!$D$8+1)/MAX(1,'Equipment Analysis'!$D$48))*Assumptions!$B$61,0)</f>
        <v>0</v>
      </c>
      <c r="F51" s="35" t="n">
        <f aca="false">IF(AND('Equipment Analysis'!$D$7="Yes",F$3&gt;='Equipment Analysis'!$D$8),'Equipment Analysis'!$D$47/12*MIN(1,(F$3-'Equipment Analysis'!$D$8+1)/MAX(1,'Equipment Analysis'!$D$48))*Assumptions!$B$61,0)</f>
        <v>0</v>
      </c>
      <c r="G51" s="35" t="n">
        <f aca="false">IF(AND('Equipment Analysis'!$D$7="Yes",G$3&gt;='Equipment Analysis'!$D$8),'Equipment Analysis'!$D$47/12*MIN(1,(G$3-'Equipment Analysis'!$D$8+1)/MAX(1,'Equipment Analysis'!$D$48))*Assumptions!$B$61,0)</f>
        <v>0</v>
      </c>
      <c r="H51" s="35" t="n">
        <f aca="false">IF(AND('Equipment Analysis'!$D$7="Yes",H$3&gt;='Equipment Analysis'!$D$8),'Equipment Analysis'!$D$47/12*MIN(1,(H$3-'Equipment Analysis'!$D$8+1)/MAX(1,'Equipment Analysis'!$D$48))*Assumptions!$B$61,0)</f>
        <v>0</v>
      </c>
      <c r="I51" s="35" t="n">
        <f aca="false">IF(AND('Equipment Analysis'!$D$7="Yes",I$3&gt;='Equipment Analysis'!$D$8),'Equipment Analysis'!$D$47/12*MIN(1,(I$3-'Equipment Analysis'!$D$8+1)/MAX(1,'Equipment Analysis'!$D$48))*Assumptions!$B$61,0)</f>
        <v>0</v>
      </c>
      <c r="J51" s="35" t="n">
        <f aca="false">IF(AND('Equipment Analysis'!$D$7="Yes",J$3&gt;='Equipment Analysis'!$D$8),'Equipment Analysis'!$D$47/12*MIN(1,(J$3-'Equipment Analysis'!$D$8+1)/MAX(1,'Equipment Analysis'!$D$48))*Assumptions!$B$61,0)</f>
        <v>0</v>
      </c>
      <c r="K51" s="35" t="n">
        <f aca="false">IF(AND('Equipment Analysis'!$D$7="Yes",K$3&gt;='Equipment Analysis'!$D$8),'Equipment Analysis'!$D$47/12*MIN(1,(K$3-'Equipment Analysis'!$D$8+1)/MAX(1,'Equipment Analysis'!$D$48))*Assumptions!$B$61,0)</f>
        <v>0</v>
      </c>
      <c r="L51" s="35" t="n">
        <f aca="false">IF(AND('Equipment Analysis'!$D$7="Yes",L$3&gt;='Equipment Analysis'!$D$8),'Equipment Analysis'!$D$47/12*MIN(1,(L$3-'Equipment Analysis'!$D$8+1)/MAX(1,'Equipment Analysis'!$D$48))*Assumptions!$B$61,0)</f>
        <v>0</v>
      </c>
      <c r="M51" s="35" t="n">
        <f aca="false">IF(AND('Equipment Analysis'!$D$7="Yes",M$3&gt;='Equipment Analysis'!$D$8),'Equipment Analysis'!$D$47/12*MIN(1,(M$3-'Equipment Analysis'!$D$8+1)/MAX(1,'Equipment Analysis'!$D$48))*Assumptions!$B$61,0)</f>
        <v>0</v>
      </c>
      <c r="N51" s="35" t="n">
        <f aca="false">IF(AND('Equipment Analysis'!$D$7="Yes",N$3&gt;='Equipment Analysis'!$D$8),'Equipment Analysis'!$D$47/12*MIN(1,(N$3-'Equipment Analysis'!$D$8+1)/MAX(1,'Equipment Analysis'!$D$48))*Assumptions!$B$61,0)</f>
        <v>0</v>
      </c>
      <c r="O51" s="35" t="n">
        <f aca="false">IF(AND('Equipment Analysis'!$D$7="Yes",O$3&gt;='Equipment Analysis'!$D$8),'Equipment Analysis'!$D$47/12*MIN(1,(O$3-'Equipment Analysis'!$D$8+1)/MAX(1,'Equipment Analysis'!$D$48))*Assumptions!$B$61,0)</f>
        <v>0</v>
      </c>
      <c r="P51" s="35" t="n">
        <f aca="false">IF(AND('Equipment Analysis'!$D$7="Yes",P$3&gt;='Equipment Analysis'!$D$8),'Equipment Analysis'!$D$47/12*MIN(1,(P$3-'Equipment Analysis'!$D$8+1)/MAX(1,'Equipment Analysis'!$D$48))*Assumptions!$B$61,0)</f>
        <v>0</v>
      </c>
      <c r="Q51" s="35" t="n">
        <f aca="false">IF(AND('Equipment Analysis'!$D$7="Yes",Q$3&gt;='Equipment Analysis'!$D$8),'Equipment Analysis'!$D$47/12*MIN(1,(Q$3-'Equipment Analysis'!$D$8+1)/MAX(1,'Equipment Analysis'!$D$48))*Assumptions!$B$61,0)</f>
        <v>0</v>
      </c>
      <c r="R51" s="35" t="n">
        <f aca="false">IF(AND('Equipment Analysis'!$D$7="Yes",R$3&gt;='Equipment Analysis'!$D$8),'Equipment Analysis'!$D$47/12*MIN(1,(R$3-'Equipment Analysis'!$D$8+1)/MAX(1,'Equipment Analysis'!$D$48))*Assumptions!$B$61,0)</f>
        <v>0</v>
      </c>
      <c r="S51" s="35" t="n">
        <f aca="false">IF(AND('Equipment Analysis'!$D$7="Yes",S$3&gt;='Equipment Analysis'!$D$8),'Equipment Analysis'!$D$47/12*MIN(1,(S$3-'Equipment Analysis'!$D$8+1)/MAX(1,'Equipment Analysis'!$D$48))*Assumptions!$B$61,0)</f>
        <v>0</v>
      </c>
      <c r="T51" s="35" t="n">
        <f aca="false">IF(AND('Equipment Analysis'!$D$7="Yes",T$3&gt;='Equipment Analysis'!$D$8),'Equipment Analysis'!$D$47/12*MIN(1,(T$3-'Equipment Analysis'!$D$8+1)/MAX(1,'Equipment Analysis'!$D$48))*Assumptions!$B$61,0)</f>
        <v>0</v>
      </c>
      <c r="U51" s="35" t="n">
        <f aca="false">IF(AND('Equipment Analysis'!$D$7="Yes",U$3&gt;='Equipment Analysis'!$D$8),'Equipment Analysis'!$D$47/12*MIN(1,(U$3-'Equipment Analysis'!$D$8+1)/MAX(1,'Equipment Analysis'!$D$48))*Assumptions!$B$61,0)</f>
        <v>0</v>
      </c>
      <c r="V51" s="35" t="n">
        <f aca="false">IF(AND('Equipment Analysis'!$D$7="Yes",V$3&gt;='Equipment Analysis'!$D$8),'Equipment Analysis'!$D$47/12*MIN(1,(V$3-'Equipment Analysis'!$D$8+1)/MAX(1,'Equipment Analysis'!$D$48))*Assumptions!$B$61,0)</f>
        <v>0</v>
      </c>
      <c r="W51" s="35" t="n">
        <f aca="false">IF(AND('Equipment Analysis'!$D$7="Yes",W$3&gt;='Equipment Analysis'!$D$8),'Equipment Analysis'!$D$47/12*MIN(1,(W$3-'Equipment Analysis'!$D$8+1)/MAX(1,'Equipment Analysis'!$D$48))*Assumptions!$B$61,0)</f>
        <v>0</v>
      </c>
      <c r="X51" s="35" t="n">
        <f aca="false">IF(AND('Equipment Analysis'!$D$7="Yes",X$3&gt;='Equipment Analysis'!$D$8),'Equipment Analysis'!$D$47/12*MIN(1,(X$3-'Equipment Analysis'!$D$8+1)/MAX(1,'Equipment Analysis'!$D$48))*Assumptions!$B$61,0)</f>
        <v>0</v>
      </c>
      <c r="Y51" s="35" t="n">
        <f aca="false">IF(AND('Equipment Analysis'!$D$7="Yes",Y$3&gt;='Equipment Analysis'!$D$8),'Equipment Analysis'!$D$47/12*MIN(1,(Y$3-'Equipment Analysis'!$D$8+1)/MAX(1,'Equipment Analysis'!$D$48))*Assumptions!$B$61,0)</f>
        <v>0</v>
      </c>
      <c r="Z51" s="35" t="n">
        <f aca="false">IF(AND('Equipment Analysis'!$D$7="Yes",Z$3&gt;='Equipment Analysis'!$D$8),'Equipment Analysis'!$D$47/12*MIN(1,(Z$3-'Equipment Analysis'!$D$8+1)/MAX(1,'Equipment Analysis'!$D$48))*Assumptions!$B$61,0)</f>
        <v>0</v>
      </c>
    </row>
    <row r="52" customFormat="false" ht="15" hidden="false" customHeight="false" outlineLevel="0" collapsed="false">
      <c r="A52" s="11" t="s">
        <v>397</v>
      </c>
      <c r="C52" s="35" t="n">
        <f aca="false">IF(OR('Equipment Analysis'!$D$7&lt;&gt;"Yes",'Equipment Analysis'!$D$51=0,C$3&lt;'Equipment Analysis'!$D$8),0,IF(C$3&lt;='Equipment Analysis'!$D$8+11,'Equipment Analysis'!$D$56/12,'Equipment Analysis'!$D$57/12))</f>
        <v>0</v>
      </c>
      <c r="D52" s="35" t="n">
        <f aca="false">IF(OR('Equipment Analysis'!$D$7&lt;&gt;"Yes",'Equipment Analysis'!$D$51=0,D$3&lt;'Equipment Analysis'!$D$8),0,IF(D$3&lt;='Equipment Analysis'!$D$8+11,'Equipment Analysis'!$D$56/12,'Equipment Analysis'!$D$57/12))</f>
        <v>0</v>
      </c>
      <c r="E52" s="35" t="n">
        <f aca="false">IF(OR('Equipment Analysis'!$D$7&lt;&gt;"Yes",'Equipment Analysis'!$D$51=0,E$3&lt;'Equipment Analysis'!$D$8),0,IF(E$3&lt;='Equipment Analysis'!$D$8+11,'Equipment Analysis'!$D$56/12,'Equipment Analysis'!$D$57/12))</f>
        <v>0</v>
      </c>
      <c r="F52" s="35" t="n">
        <f aca="false">IF(OR('Equipment Analysis'!$D$7&lt;&gt;"Yes",'Equipment Analysis'!$D$51=0,F$3&lt;'Equipment Analysis'!$D$8),0,IF(F$3&lt;='Equipment Analysis'!$D$8+11,'Equipment Analysis'!$D$56/12,'Equipment Analysis'!$D$57/12))</f>
        <v>0</v>
      </c>
      <c r="G52" s="35" t="n">
        <f aca="false">IF(OR('Equipment Analysis'!$D$7&lt;&gt;"Yes",'Equipment Analysis'!$D$51=0,G$3&lt;'Equipment Analysis'!$D$8),0,IF(G$3&lt;='Equipment Analysis'!$D$8+11,'Equipment Analysis'!$D$56/12,'Equipment Analysis'!$D$57/12))</f>
        <v>0</v>
      </c>
      <c r="H52" s="35" t="n">
        <f aca="false">IF(OR('Equipment Analysis'!$D$7&lt;&gt;"Yes",'Equipment Analysis'!$D$51=0,H$3&lt;'Equipment Analysis'!$D$8),0,IF(H$3&lt;='Equipment Analysis'!$D$8+11,'Equipment Analysis'!$D$56/12,'Equipment Analysis'!$D$57/12))</f>
        <v>0</v>
      </c>
      <c r="I52" s="35" t="n">
        <f aca="false">IF(OR('Equipment Analysis'!$D$7&lt;&gt;"Yes",'Equipment Analysis'!$D$51=0,I$3&lt;'Equipment Analysis'!$D$8),0,IF(I$3&lt;='Equipment Analysis'!$D$8+11,'Equipment Analysis'!$D$56/12,'Equipment Analysis'!$D$57/12))</f>
        <v>0</v>
      </c>
      <c r="J52" s="35" t="n">
        <f aca="false">IF(OR('Equipment Analysis'!$D$7&lt;&gt;"Yes",'Equipment Analysis'!$D$51=0,J$3&lt;'Equipment Analysis'!$D$8),0,IF(J$3&lt;='Equipment Analysis'!$D$8+11,'Equipment Analysis'!$D$56/12,'Equipment Analysis'!$D$57/12))</f>
        <v>0</v>
      </c>
      <c r="K52" s="35" t="n">
        <f aca="false">IF(OR('Equipment Analysis'!$D$7&lt;&gt;"Yes",'Equipment Analysis'!$D$51=0,K$3&lt;'Equipment Analysis'!$D$8),0,IF(K$3&lt;='Equipment Analysis'!$D$8+11,'Equipment Analysis'!$D$56/12,'Equipment Analysis'!$D$57/12))</f>
        <v>0</v>
      </c>
      <c r="L52" s="35" t="n">
        <f aca="false">IF(OR('Equipment Analysis'!$D$7&lt;&gt;"Yes",'Equipment Analysis'!$D$51=0,L$3&lt;'Equipment Analysis'!$D$8),0,IF(L$3&lt;='Equipment Analysis'!$D$8+11,'Equipment Analysis'!$D$56/12,'Equipment Analysis'!$D$57/12))</f>
        <v>0</v>
      </c>
      <c r="M52" s="35" t="n">
        <f aca="false">IF(OR('Equipment Analysis'!$D$7&lt;&gt;"Yes",'Equipment Analysis'!$D$51=0,M$3&lt;'Equipment Analysis'!$D$8),0,IF(M$3&lt;='Equipment Analysis'!$D$8+11,'Equipment Analysis'!$D$56/12,'Equipment Analysis'!$D$57/12))</f>
        <v>0</v>
      </c>
      <c r="N52" s="35" t="n">
        <f aca="false">IF(OR('Equipment Analysis'!$D$7&lt;&gt;"Yes",'Equipment Analysis'!$D$51=0,N$3&lt;'Equipment Analysis'!$D$8),0,IF(N$3&lt;='Equipment Analysis'!$D$8+11,'Equipment Analysis'!$D$56/12,'Equipment Analysis'!$D$57/12))</f>
        <v>0</v>
      </c>
      <c r="O52" s="35" t="n">
        <f aca="false">IF(OR('Equipment Analysis'!$D$7&lt;&gt;"Yes",'Equipment Analysis'!$D$51=0,O$3&lt;'Equipment Analysis'!$D$8),0,IF(O$3&lt;='Equipment Analysis'!$D$8+11,'Equipment Analysis'!$D$56/12,'Equipment Analysis'!$D$57/12))</f>
        <v>0</v>
      </c>
      <c r="P52" s="35" t="n">
        <f aca="false">IF(OR('Equipment Analysis'!$D$7&lt;&gt;"Yes",'Equipment Analysis'!$D$51=0,P$3&lt;'Equipment Analysis'!$D$8),0,IF(P$3&lt;='Equipment Analysis'!$D$8+11,'Equipment Analysis'!$D$56/12,'Equipment Analysis'!$D$57/12))</f>
        <v>0</v>
      </c>
      <c r="Q52" s="35" t="n">
        <f aca="false">IF(OR('Equipment Analysis'!$D$7&lt;&gt;"Yes",'Equipment Analysis'!$D$51=0,Q$3&lt;'Equipment Analysis'!$D$8),0,IF(Q$3&lt;='Equipment Analysis'!$D$8+11,'Equipment Analysis'!$D$56/12,'Equipment Analysis'!$D$57/12))</f>
        <v>0</v>
      </c>
      <c r="R52" s="35" t="n">
        <f aca="false">IF(OR('Equipment Analysis'!$D$7&lt;&gt;"Yes",'Equipment Analysis'!$D$51=0,R$3&lt;'Equipment Analysis'!$D$8),0,IF(R$3&lt;='Equipment Analysis'!$D$8+11,'Equipment Analysis'!$D$56/12,'Equipment Analysis'!$D$57/12))</f>
        <v>0</v>
      </c>
      <c r="S52" s="35" t="n">
        <f aca="false">IF(OR('Equipment Analysis'!$D$7&lt;&gt;"Yes",'Equipment Analysis'!$D$51=0,S$3&lt;'Equipment Analysis'!$D$8),0,IF(S$3&lt;='Equipment Analysis'!$D$8+11,'Equipment Analysis'!$D$56/12,'Equipment Analysis'!$D$57/12))</f>
        <v>0</v>
      </c>
      <c r="T52" s="35" t="n">
        <f aca="false">IF(OR('Equipment Analysis'!$D$7&lt;&gt;"Yes",'Equipment Analysis'!$D$51=0,T$3&lt;'Equipment Analysis'!$D$8),0,IF(T$3&lt;='Equipment Analysis'!$D$8+11,'Equipment Analysis'!$D$56/12,'Equipment Analysis'!$D$57/12))</f>
        <v>0</v>
      </c>
      <c r="U52" s="35" t="n">
        <f aca="false">IF(OR('Equipment Analysis'!$D$7&lt;&gt;"Yes",'Equipment Analysis'!$D$51=0,U$3&lt;'Equipment Analysis'!$D$8),0,IF(U$3&lt;='Equipment Analysis'!$D$8+11,'Equipment Analysis'!$D$56/12,'Equipment Analysis'!$D$57/12))</f>
        <v>0</v>
      </c>
      <c r="V52" s="35" t="n">
        <f aca="false">IF(OR('Equipment Analysis'!$D$7&lt;&gt;"Yes",'Equipment Analysis'!$D$51=0,V$3&lt;'Equipment Analysis'!$D$8),0,IF(V$3&lt;='Equipment Analysis'!$D$8+11,'Equipment Analysis'!$D$56/12,'Equipment Analysis'!$D$57/12))</f>
        <v>0</v>
      </c>
      <c r="W52" s="35" t="n">
        <f aca="false">IF(OR('Equipment Analysis'!$D$7&lt;&gt;"Yes",'Equipment Analysis'!$D$51=0,W$3&lt;'Equipment Analysis'!$D$8),0,IF(W$3&lt;='Equipment Analysis'!$D$8+11,'Equipment Analysis'!$D$56/12,'Equipment Analysis'!$D$57/12))</f>
        <v>0</v>
      </c>
      <c r="X52" s="35" t="n">
        <f aca="false">IF(OR('Equipment Analysis'!$D$7&lt;&gt;"Yes",'Equipment Analysis'!$D$51=0,X$3&lt;'Equipment Analysis'!$D$8),0,IF(X$3&lt;='Equipment Analysis'!$D$8+11,'Equipment Analysis'!$D$56/12,'Equipment Analysis'!$D$57/12))</f>
        <v>0</v>
      </c>
      <c r="Y52" s="35" t="n">
        <f aca="false">IF(OR('Equipment Analysis'!$D$7&lt;&gt;"Yes",'Equipment Analysis'!$D$51=0,Y$3&lt;'Equipment Analysis'!$D$8),0,IF(Y$3&lt;='Equipment Analysis'!$D$8+11,'Equipment Analysis'!$D$56/12,'Equipment Analysis'!$D$57/12))</f>
        <v>0</v>
      </c>
      <c r="Z52" s="35" t="n">
        <f aca="false">IF(OR('Equipment Analysis'!$D$7&lt;&gt;"Yes",'Equipment Analysis'!$D$51=0,Z$3&lt;'Equipment Analysis'!$D$8),0,IF(Z$3&lt;='Equipment Analysis'!$D$8+11,'Equipment Analysis'!$D$56/12,'Equipment Analysis'!$D$57/12))</f>
        <v>0</v>
      </c>
    </row>
    <row r="53" customFormat="false" ht="15" hidden="false" customHeight="false" outlineLevel="0" collapsed="false">
      <c r="A53" s="36" t="s">
        <v>398</v>
      </c>
      <c r="C53" s="37" t="n">
        <f aca="false">C51-C50-C45-C46</f>
        <v>0</v>
      </c>
      <c r="D53" s="37" t="n">
        <f aca="false">D51-D50-D45-D46</f>
        <v>0</v>
      </c>
      <c r="E53" s="37" t="n">
        <f aca="false">E51-E50-E45-E46</f>
        <v>0</v>
      </c>
      <c r="F53" s="37" t="n">
        <f aca="false">F51-F50-F45-F46</f>
        <v>0</v>
      </c>
      <c r="G53" s="37" t="n">
        <f aca="false">G51-G50-G45-G46</f>
        <v>0</v>
      </c>
      <c r="H53" s="37" t="n">
        <f aca="false">H51-H50-H45-H46</f>
        <v>0</v>
      </c>
      <c r="I53" s="37" t="n">
        <f aca="false">I51-I50-I45-I46</f>
        <v>0</v>
      </c>
      <c r="J53" s="37" t="n">
        <f aca="false">J51-J50-J45-J46</f>
        <v>0</v>
      </c>
      <c r="K53" s="37" t="n">
        <f aca="false">K51-K50-K45-K46</f>
        <v>0</v>
      </c>
      <c r="L53" s="37" t="n">
        <f aca="false">L51-L50-L45-L46</f>
        <v>0</v>
      </c>
      <c r="M53" s="37" t="n">
        <f aca="false">M51-M50-M45-M46</f>
        <v>0</v>
      </c>
      <c r="N53" s="37" t="n">
        <f aca="false">N51-N50-N45-N46</f>
        <v>0</v>
      </c>
      <c r="O53" s="37" t="n">
        <f aca="false">O51-O50-O45-O46</f>
        <v>0</v>
      </c>
      <c r="P53" s="37" t="n">
        <f aca="false">P51-P50-P45-P46</f>
        <v>0</v>
      </c>
      <c r="Q53" s="37" t="n">
        <f aca="false">Q51-Q50-Q45-Q46</f>
        <v>0</v>
      </c>
      <c r="R53" s="37" t="n">
        <f aca="false">R51-R50-R45-R46</f>
        <v>0</v>
      </c>
      <c r="S53" s="37" t="n">
        <f aca="false">S51-S50-S45-S46</f>
        <v>0</v>
      </c>
      <c r="T53" s="37" t="n">
        <f aca="false">T51-T50-T45-T46</f>
        <v>0</v>
      </c>
      <c r="U53" s="37" t="n">
        <f aca="false">U51-U50-U45-U46</f>
        <v>0</v>
      </c>
      <c r="V53" s="37" t="n">
        <f aca="false">V51-V50-V45-V46</f>
        <v>0</v>
      </c>
      <c r="W53" s="37" t="n">
        <f aca="false">W51-W50-W45-W46</f>
        <v>0</v>
      </c>
      <c r="X53" s="37" t="n">
        <f aca="false">X51-X50-X45-X46</f>
        <v>0</v>
      </c>
      <c r="Y53" s="37" t="n">
        <f aca="false">Y51-Y50-Y45-Y46</f>
        <v>0</v>
      </c>
      <c r="Z53" s="37" t="n">
        <f aca="false">Z51-Z50-Z45-Z46</f>
        <v>0</v>
      </c>
    </row>
    <row r="54" customFormat="false" ht="15" hidden="false" customHeight="false" outlineLevel="0" collapsed="false">
      <c r="A54" s="11" t="s">
        <v>399</v>
      </c>
      <c r="C54" s="35" t="n">
        <f aca="false">IF(AND('Equipment Analysis'!$E$7="Yes",C$3='Equipment Analysis'!$E$8),'Equipment Analysis'!$E$28,0)</f>
        <v>0</v>
      </c>
      <c r="D54" s="35" t="n">
        <f aca="false">IF(AND('Equipment Analysis'!$E$7="Yes",D$3='Equipment Analysis'!$E$8),'Equipment Analysis'!$E$28,0)</f>
        <v>0</v>
      </c>
      <c r="E54" s="35" t="n">
        <f aca="false">IF(AND('Equipment Analysis'!$E$7="Yes",E$3='Equipment Analysis'!$E$8),'Equipment Analysis'!$E$28,0)</f>
        <v>0</v>
      </c>
      <c r="F54" s="35" t="n">
        <f aca="false">IF(AND('Equipment Analysis'!$E$7="Yes",F$3='Equipment Analysis'!$E$8),'Equipment Analysis'!$E$28,0)</f>
        <v>0</v>
      </c>
      <c r="G54" s="35" t="n">
        <f aca="false">IF(AND('Equipment Analysis'!$E$7="Yes",G$3='Equipment Analysis'!$E$8),'Equipment Analysis'!$E$28,0)</f>
        <v>0</v>
      </c>
      <c r="H54" s="35" t="n">
        <f aca="false">IF(AND('Equipment Analysis'!$E$7="Yes",H$3='Equipment Analysis'!$E$8),'Equipment Analysis'!$E$28,0)</f>
        <v>0</v>
      </c>
      <c r="I54" s="35" t="n">
        <f aca="false">IF(AND('Equipment Analysis'!$E$7="Yes",I$3='Equipment Analysis'!$E$8),'Equipment Analysis'!$E$28,0)</f>
        <v>0</v>
      </c>
      <c r="J54" s="35" t="n">
        <f aca="false">IF(AND('Equipment Analysis'!$E$7="Yes",J$3='Equipment Analysis'!$E$8),'Equipment Analysis'!$E$28,0)</f>
        <v>0</v>
      </c>
      <c r="K54" s="35" t="n">
        <f aca="false">IF(AND('Equipment Analysis'!$E$7="Yes",K$3='Equipment Analysis'!$E$8),'Equipment Analysis'!$E$28,0)</f>
        <v>0</v>
      </c>
      <c r="L54" s="35" t="n">
        <f aca="false">IF(AND('Equipment Analysis'!$E$7="Yes",L$3='Equipment Analysis'!$E$8),'Equipment Analysis'!$E$28,0)</f>
        <v>0</v>
      </c>
      <c r="M54" s="35" t="n">
        <f aca="false">IF(AND('Equipment Analysis'!$E$7="Yes",M$3='Equipment Analysis'!$E$8),'Equipment Analysis'!$E$28,0)</f>
        <v>0</v>
      </c>
      <c r="N54" s="35" t="n">
        <f aca="false">IF(AND('Equipment Analysis'!$E$7="Yes",N$3='Equipment Analysis'!$E$8),'Equipment Analysis'!$E$28,0)</f>
        <v>0</v>
      </c>
      <c r="O54" s="35" t="n">
        <f aca="false">IF(AND('Equipment Analysis'!$E$7="Yes",O$3='Equipment Analysis'!$E$8),'Equipment Analysis'!$E$28,0)</f>
        <v>0</v>
      </c>
      <c r="P54" s="35" t="n">
        <f aca="false">IF(AND('Equipment Analysis'!$E$7="Yes",P$3='Equipment Analysis'!$E$8),'Equipment Analysis'!$E$28,0)</f>
        <v>0</v>
      </c>
      <c r="Q54" s="35" t="n">
        <f aca="false">IF(AND('Equipment Analysis'!$E$7="Yes",Q$3='Equipment Analysis'!$E$8),'Equipment Analysis'!$E$28,0)</f>
        <v>0</v>
      </c>
      <c r="R54" s="35" t="n">
        <f aca="false">IF(AND('Equipment Analysis'!$E$7="Yes",R$3='Equipment Analysis'!$E$8),'Equipment Analysis'!$E$28,0)</f>
        <v>0</v>
      </c>
      <c r="S54" s="35" t="n">
        <f aca="false">IF(AND('Equipment Analysis'!$E$7="Yes",S$3='Equipment Analysis'!$E$8),'Equipment Analysis'!$E$28,0)</f>
        <v>0</v>
      </c>
      <c r="T54" s="35" t="n">
        <f aca="false">IF(AND('Equipment Analysis'!$E$7="Yes",T$3='Equipment Analysis'!$E$8),'Equipment Analysis'!$E$28,0)</f>
        <v>0</v>
      </c>
      <c r="U54" s="35" t="n">
        <f aca="false">IF(AND('Equipment Analysis'!$E$7="Yes",U$3='Equipment Analysis'!$E$8),'Equipment Analysis'!$E$28,0)</f>
        <v>0</v>
      </c>
      <c r="V54" s="35" t="n">
        <f aca="false">IF(AND('Equipment Analysis'!$E$7="Yes",V$3='Equipment Analysis'!$E$8),'Equipment Analysis'!$E$28,0)</f>
        <v>0</v>
      </c>
      <c r="W54" s="35" t="n">
        <f aca="false">IF(AND('Equipment Analysis'!$E$7="Yes",W$3='Equipment Analysis'!$E$8),'Equipment Analysis'!$E$28,0)</f>
        <v>0</v>
      </c>
      <c r="X54" s="35" t="n">
        <f aca="false">IF(AND('Equipment Analysis'!$E$7="Yes",X$3='Equipment Analysis'!$E$8),'Equipment Analysis'!$E$28,0)</f>
        <v>0</v>
      </c>
      <c r="Y54" s="35" t="n">
        <f aca="false">IF(AND('Equipment Analysis'!$E$7="Yes",Y$3='Equipment Analysis'!$E$8),'Equipment Analysis'!$E$28,0)</f>
        <v>0</v>
      </c>
      <c r="Z54" s="35" t="n">
        <f aca="false">IF(AND('Equipment Analysis'!$E$7="Yes",Z$3='Equipment Analysis'!$E$8),'Equipment Analysis'!$E$28,0)</f>
        <v>0</v>
      </c>
    </row>
    <row r="55" customFormat="false" ht="15" hidden="false" customHeight="false" outlineLevel="0" collapsed="false">
      <c r="A55" s="11" t="s">
        <v>400</v>
      </c>
      <c r="C55" s="35" t="n">
        <f aca="false">IF(AND('Equipment Analysis'!$E$7="Yes",C$3='Equipment Analysis'!$E$8,'Equipment Analysis'!$E$19="Loan"),'Equipment Analysis'!$E$22,0)</f>
        <v>0</v>
      </c>
      <c r="D55" s="35" t="n">
        <f aca="false">IF(AND('Equipment Analysis'!$E$7="Yes",D$3='Equipment Analysis'!$E$8,'Equipment Analysis'!$E$19="Loan"),'Equipment Analysis'!$E$22,0)</f>
        <v>0</v>
      </c>
      <c r="E55" s="35" t="n">
        <f aca="false">IF(AND('Equipment Analysis'!$E$7="Yes",E$3='Equipment Analysis'!$E$8,'Equipment Analysis'!$E$19="Loan"),'Equipment Analysis'!$E$22,0)</f>
        <v>0</v>
      </c>
      <c r="F55" s="35" t="n">
        <f aca="false">IF(AND('Equipment Analysis'!$E$7="Yes",F$3='Equipment Analysis'!$E$8,'Equipment Analysis'!$E$19="Loan"),'Equipment Analysis'!$E$22,0)</f>
        <v>0</v>
      </c>
      <c r="G55" s="35" t="n">
        <f aca="false">IF(AND('Equipment Analysis'!$E$7="Yes",G$3='Equipment Analysis'!$E$8,'Equipment Analysis'!$E$19="Loan"),'Equipment Analysis'!$E$22,0)</f>
        <v>0</v>
      </c>
      <c r="H55" s="35" t="n">
        <f aca="false">IF(AND('Equipment Analysis'!$E$7="Yes",H$3='Equipment Analysis'!$E$8,'Equipment Analysis'!$E$19="Loan"),'Equipment Analysis'!$E$22,0)</f>
        <v>0</v>
      </c>
      <c r="I55" s="35" t="n">
        <f aca="false">IF(AND('Equipment Analysis'!$E$7="Yes",I$3='Equipment Analysis'!$E$8,'Equipment Analysis'!$E$19="Loan"),'Equipment Analysis'!$E$22,0)</f>
        <v>0</v>
      </c>
      <c r="J55" s="35" t="n">
        <f aca="false">IF(AND('Equipment Analysis'!$E$7="Yes",J$3='Equipment Analysis'!$E$8,'Equipment Analysis'!$E$19="Loan"),'Equipment Analysis'!$E$22,0)</f>
        <v>0</v>
      </c>
      <c r="K55" s="35" t="n">
        <f aca="false">IF(AND('Equipment Analysis'!$E$7="Yes",K$3='Equipment Analysis'!$E$8,'Equipment Analysis'!$E$19="Loan"),'Equipment Analysis'!$E$22,0)</f>
        <v>0</v>
      </c>
      <c r="L55" s="35" t="n">
        <f aca="false">IF(AND('Equipment Analysis'!$E$7="Yes",L$3='Equipment Analysis'!$E$8,'Equipment Analysis'!$E$19="Loan"),'Equipment Analysis'!$E$22,0)</f>
        <v>0</v>
      </c>
      <c r="M55" s="35" t="n">
        <f aca="false">IF(AND('Equipment Analysis'!$E$7="Yes",M$3='Equipment Analysis'!$E$8,'Equipment Analysis'!$E$19="Loan"),'Equipment Analysis'!$E$22,0)</f>
        <v>0</v>
      </c>
      <c r="N55" s="35" t="n">
        <f aca="false">IF(AND('Equipment Analysis'!$E$7="Yes",N$3='Equipment Analysis'!$E$8,'Equipment Analysis'!$E$19="Loan"),'Equipment Analysis'!$E$22,0)</f>
        <v>0</v>
      </c>
      <c r="O55" s="35" t="n">
        <f aca="false">IF(AND('Equipment Analysis'!$E$7="Yes",O$3='Equipment Analysis'!$E$8,'Equipment Analysis'!$E$19="Loan"),'Equipment Analysis'!$E$22,0)</f>
        <v>0</v>
      </c>
      <c r="P55" s="35" t="n">
        <f aca="false">IF(AND('Equipment Analysis'!$E$7="Yes",P$3='Equipment Analysis'!$E$8,'Equipment Analysis'!$E$19="Loan"),'Equipment Analysis'!$E$22,0)</f>
        <v>0</v>
      </c>
      <c r="Q55" s="35" t="n">
        <f aca="false">IF(AND('Equipment Analysis'!$E$7="Yes",Q$3='Equipment Analysis'!$E$8,'Equipment Analysis'!$E$19="Loan"),'Equipment Analysis'!$E$22,0)</f>
        <v>0</v>
      </c>
      <c r="R55" s="35" t="n">
        <f aca="false">IF(AND('Equipment Analysis'!$E$7="Yes",R$3='Equipment Analysis'!$E$8,'Equipment Analysis'!$E$19="Loan"),'Equipment Analysis'!$E$22,0)</f>
        <v>0</v>
      </c>
      <c r="S55" s="35" t="n">
        <f aca="false">IF(AND('Equipment Analysis'!$E$7="Yes",S$3='Equipment Analysis'!$E$8,'Equipment Analysis'!$E$19="Loan"),'Equipment Analysis'!$E$22,0)</f>
        <v>0</v>
      </c>
      <c r="T55" s="35" t="n">
        <f aca="false">IF(AND('Equipment Analysis'!$E$7="Yes",T$3='Equipment Analysis'!$E$8,'Equipment Analysis'!$E$19="Loan"),'Equipment Analysis'!$E$22,0)</f>
        <v>0</v>
      </c>
      <c r="U55" s="35" t="n">
        <f aca="false">IF(AND('Equipment Analysis'!$E$7="Yes",U$3='Equipment Analysis'!$E$8,'Equipment Analysis'!$E$19="Loan"),'Equipment Analysis'!$E$22,0)</f>
        <v>0</v>
      </c>
      <c r="V55" s="35" t="n">
        <f aca="false">IF(AND('Equipment Analysis'!$E$7="Yes",V$3='Equipment Analysis'!$E$8,'Equipment Analysis'!$E$19="Loan"),'Equipment Analysis'!$E$22,0)</f>
        <v>0</v>
      </c>
      <c r="W55" s="35" t="n">
        <f aca="false">IF(AND('Equipment Analysis'!$E$7="Yes",W$3='Equipment Analysis'!$E$8,'Equipment Analysis'!$E$19="Loan"),'Equipment Analysis'!$E$22,0)</f>
        <v>0</v>
      </c>
      <c r="X55" s="35" t="n">
        <f aca="false">IF(AND('Equipment Analysis'!$E$7="Yes",X$3='Equipment Analysis'!$E$8,'Equipment Analysis'!$E$19="Loan"),'Equipment Analysis'!$E$22,0)</f>
        <v>0</v>
      </c>
      <c r="Y55" s="35" t="n">
        <f aca="false">IF(AND('Equipment Analysis'!$E$7="Yes",Y$3='Equipment Analysis'!$E$8,'Equipment Analysis'!$E$19="Loan"),'Equipment Analysis'!$E$22,0)</f>
        <v>0</v>
      </c>
      <c r="Z55" s="35" t="n">
        <f aca="false">IF(AND('Equipment Analysis'!$E$7="Yes",Z$3='Equipment Analysis'!$E$8,'Equipment Analysis'!$E$19="Loan"),'Equipment Analysis'!$E$22,0)</f>
        <v>0</v>
      </c>
    </row>
    <row r="56" customFormat="false" ht="15" hidden="false" customHeight="false" outlineLevel="0" collapsed="false">
      <c r="A56" s="11" t="s">
        <v>401</v>
      </c>
      <c r="C56" s="35" t="n">
        <f aca="false">IF(AND('Equipment Analysis'!$E$7="Yes",'Equipment Analysis'!$E$19="Loan",C$3&gt;='Equipment Analysis'!$E$8,C$3&lt;='Equipment Analysis'!$E$8+'Equipment Analysis'!$E$24-1),'Equipment Analysis'!$E$25,0)</f>
        <v>0</v>
      </c>
      <c r="D56" s="35" t="n">
        <f aca="false">IF(AND('Equipment Analysis'!$E$7="Yes",'Equipment Analysis'!$E$19="Loan",D$3&gt;='Equipment Analysis'!$E$8,D$3&lt;='Equipment Analysis'!$E$8+'Equipment Analysis'!$E$24-1),'Equipment Analysis'!$E$25,0)</f>
        <v>0</v>
      </c>
      <c r="E56" s="35" t="n">
        <f aca="false">IF(AND('Equipment Analysis'!$E$7="Yes",'Equipment Analysis'!$E$19="Loan",E$3&gt;='Equipment Analysis'!$E$8,E$3&lt;='Equipment Analysis'!$E$8+'Equipment Analysis'!$E$24-1),'Equipment Analysis'!$E$25,0)</f>
        <v>0</v>
      </c>
      <c r="F56" s="35" t="n">
        <f aca="false">IF(AND('Equipment Analysis'!$E$7="Yes",'Equipment Analysis'!$E$19="Loan",F$3&gt;='Equipment Analysis'!$E$8,F$3&lt;='Equipment Analysis'!$E$8+'Equipment Analysis'!$E$24-1),'Equipment Analysis'!$E$25,0)</f>
        <v>0</v>
      </c>
      <c r="G56" s="35" t="n">
        <f aca="false">IF(AND('Equipment Analysis'!$E$7="Yes",'Equipment Analysis'!$E$19="Loan",G$3&gt;='Equipment Analysis'!$E$8,G$3&lt;='Equipment Analysis'!$E$8+'Equipment Analysis'!$E$24-1),'Equipment Analysis'!$E$25,0)</f>
        <v>0</v>
      </c>
      <c r="H56" s="35" t="n">
        <f aca="false">IF(AND('Equipment Analysis'!$E$7="Yes",'Equipment Analysis'!$E$19="Loan",H$3&gt;='Equipment Analysis'!$E$8,H$3&lt;='Equipment Analysis'!$E$8+'Equipment Analysis'!$E$24-1),'Equipment Analysis'!$E$25,0)</f>
        <v>0</v>
      </c>
      <c r="I56" s="35" t="n">
        <f aca="false">IF(AND('Equipment Analysis'!$E$7="Yes",'Equipment Analysis'!$E$19="Loan",I$3&gt;='Equipment Analysis'!$E$8,I$3&lt;='Equipment Analysis'!$E$8+'Equipment Analysis'!$E$24-1),'Equipment Analysis'!$E$25,0)</f>
        <v>0</v>
      </c>
      <c r="J56" s="35" t="n">
        <f aca="false">IF(AND('Equipment Analysis'!$E$7="Yes",'Equipment Analysis'!$E$19="Loan",J$3&gt;='Equipment Analysis'!$E$8,J$3&lt;='Equipment Analysis'!$E$8+'Equipment Analysis'!$E$24-1),'Equipment Analysis'!$E$25,0)</f>
        <v>0</v>
      </c>
      <c r="K56" s="35" t="n">
        <f aca="false">IF(AND('Equipment Analysis'!$E$7="Yes",'Equipment Analysis'!$E$19="Loan",K$3&gt;='Equipment Analysis'!$E$8,K$3&lt;='Equipment Analysis'!$E$8+'Equipment Analysis'!$E$24-1),'Equipment Analysis'!$E$25,0)</f>
        <v>0</v>
      </c>
      <c r="L56" s="35" t="n">
        <f aca="false">IF(AND('Equipment Analysis'!$E$7="Yes",'Equipment Analysis'!$E$19="Loan",L$3&gt;='Equipment Analysis'!$E$8,L$3&lt;='Equipment Analysis'!$E$8+'Equipment Analysis'!$E$24-1),'Equipment Analysis'!$E$25,0)</f>
        <v>0</v>
      </c>
      <c r="M56" s="35" t="n">
        <f aca="false">IF(AND('Equipment Analysis'!$E$7="Yes",'Equipment Analysis'!$E$19="Loan",M$3&gt;='Equipment Analysis'!$E$8,M$3&lt;='Equipment Analysis'!$E$8+'Equipment Analysis'!$E$24-1),'Equipment Analysis'!$E$25,0)</f>
        <v>0</v>
      </c>
      <c r="N56" s="35" t="n">
        <f aca="false">IF(AND('Equipment Analysis'!$E$7="Yes",'Equipment Analysis'!$E$19="Loan",N$3&gt;='Equipment Analysis'!$E$8,N$3&lt;='Equipment Analysis'!$E$8+'Equipment Analysis'!$E$24-1),'Equipment Analysis'!$E$25,0)</f>
        <v>0</v>
      </c>
      <c r="O56" s="35" t="n">
        <f aca="false">IF(AND('Equipment Analysis'!$E$7="Yes",'Equipment Analysis'!$E$19="Loan",O$3&gt;='Equipment Analysis'!$E$8,O$3&lt;='Equipment Analysis'!$E$8+'Equipment Analysis'!$E$24-1),'Equipment Analysis'!$E$25,0)</f>
        <v>0</v>
      </c>
      <c r="P56" s="35" t="n">
        <f aca="false">IF(AND('Equipment Analysis'!$E$7="Yes",'Equipment Analysis'!$E$19="Loan",P$3&gt;='Equipment Analysis'!$E$8,P$3&lt;='Equipment Analysis'!$E$8+'Equipment Analysis'!$E$24-1),'Equipment Analysis'!$E$25,0)</f>
        <v>0</v>
      </c>
      <c r="Q56" s="35" t="n">
        <f aca="false">IF(AND('Equipment Analysis'!$E$7="Yes",'Equipment Analysis'!$E$19="Loan",Q$3&gt;='Equipment Analysis'!$E$8,Q$3&lt;='Equipment Analysis'!$E$8+'Equipment Analysis'!$E$24-1),'Equipment Analysis'!$E$25,0)</f>
        <v>0</v>
      </c>
      <c r="R56" s="35" t="n">
        <f aca="false">IF(AND('Equipment Analysis'!$E$7="Yes",'Equipment Analysis'!$E$19="Loan",R$3&gt;='Equipment Analysis'!$E$8,R$3&lt;='Equipment Analysis'!$E$8+'Equipment Analysis'!$E$24-1),'Equipment Analysis'!$E$25,0)</f>
        <v>0</v>
      </c>
      <c r="S56" s="35" t="n">
        <f aca="false">IF(AND('Equipment Analysis'!$E$7="Yes",'Equipment Analysis'!$E$19="Loan",S$3&gt;='Equipment Analysis'!$E$8,S$3&lt;='Equipment Analysis'!$E$8+'Equipment Analysis'!$E$24-1),'Equipment Analysis'!$E$25,0)</f>
        <v>0</v>
      </c>
      <c r="T56" s="35" t="n">
        <f aca="false">IF(AND('Equipment Analysis'!$E$7="Yes",'Equipment Analysis'!$E$19="Loan",T$3&gt;='Equipment Analysis'!$E$8,T$3&lt;='Equipment Analysis'!$E$8+'Equipment Analysis'!$E$24-1),'Equipment Analysis'!$E$25,0)</f>
        <v>0</v>
      </c>
      <c r="U56" s="35" t="n">
        <f aca="false">IF(AND('Equipment Analysis'!$E$7="Yes",'Equipment Analysis'!$E$19="Loan",U$3&gt;='Equipment Analysis'!$E$8,U$3&lt;='Equipment Analysis'!$E$8+'Equipment Analysis'!$E$24-1),'Equipment Analysis'!$E$25,0)</f>
        <v>0</v>
      </c>
      <c r="V56" s="35" t="n">
        <f aca="false">IF(AND('Equipment Analysis'!$E$7="Yes",'Equipment Analysis'!$E$19="Loan",V$3&gt;='Equipment Analysis'!$E$8,V$3&lt;='Equipment Analysis'!$E$8+'Equipment Analysis'!$E$24-1),'Equipment Analysis'!$E$25,0)</f>
        <v>0</v>
      </c>
      <c r="W56" s="35" t="n">
        <f aca="false">IF(AND('Equipment Analysis'!$E$7="Yes",'Equipment Analysis'!$E$19="Loan",W$3&gt;='Equipment Analysis'!$E$8,W$3&lt;='Equipment Analysis'!$E$8+'Equipment Analysis'!$E$24-1),'Equipment Analysis'!$E$25,0)</f>
        <v>0</v>
      </c>
      <c r="X56" s="35" t="n">
        <f aca="false">IF(AND('Equipment Analysis'!$E$7="Yes",'Equipment Analysis'!$E$19="Loan",X$3&gt;='Equipment Analysis'!$E$8,X$3&lt;='Equipment Analysis'!$E$8+'Equipment Analysis'!$E$24-1),'Equipment Analysis'!$E$25,0)</f>
        <v>0</v>
      </c>
      <c r="Y56" s="35" t="n">
        <f aca="false">IF(AND('Equipment Analysis'!$E$7="Yes",'Equipment Analysis'!$E$19="Loan",Y$3&gt;='Equipment Analysis'!$E$8,Y$3&lt;='Equipment Analysis'!$E$8+'Equipment Analysis'!$E$24-1),'Equipment Analysis'!$E$25,0)</f>
        <v>0</v>
      </c>
      <c r="Z56" s="35" t="n">
        <f aca="false">IF(AND('Equipment Analysis'!$E$7="Yes",'Equipment Analysis'!$E$19="Loan",Z$3&gt;='Equipment Analysis'!$E$8,Z$3&lt;='Equipment Analysis'!$E$8+'Equipment Analysis'!$E$24-1),'Equipment Analysis'!$E$25,0)</f>
        <v>0</v>
      </c>
    </row>
    <row r="57" customFormat="false" ht="15" hidden="false" customHeight="false" outlineLevel="0" collapsed="false">
      <c r="A57" s="11" t="s">
        <v>402</v>
      </c>
      <c r="C57" s="35" t="n">
        <f aca="false">IF(C56=0,0,-IPMT('Equipment Analysis'!$E$23/12,C$3-'Equipment Analysis'!$E$8+1,'Equipment Analysis'!$E$24,'Equipment Analysis'!$E$22))</f>
        <v>0</v>
      </c>
      <c r="D57" s="35" t="n">
        <f aca="false">IF(D56=0,0,-IPMT('Equipment Analysis'!$E$23/12,D$3-'Equipment Analysis'!$E$8+1,'Equipment Analysis'!$E$24,'Equipment Analysis'!$E$22))</f>
        <v>0</v>
      </c>
      <c r="E57" s="35" t="n">
        <f aca="false">IF(E56=0,0,-IPMT('Equipment Analysis'!$E$23/12,E$3-'Equipment Analysis'!$E$8+1,'Equipment Analysis'!$E$24,'Equipment Analysis'!$E$22))</f>
        <v>0</v>
      </c>
      <c r="F57" s="35" t="n">
        <f aca="false">IF(F56=0,0,-IPMT('Equipment Analysis'!$E$23/12,F$3-'Equipment Analysis'!$E$8+1,'Equipment Analysis'!$E$24,'Equipment Analysis'!$E$22))</f>
        <v>0</v>
      </c>
      <c r="G57" s="35" t="n">
        <f aca="false">IF(G56=0,0,-IPMT('Equipment Analysis'!$E$23/12,G$3-'Equipment Analysis'!$E$8+1,'Equipment Analysis'!$E$24,'Equipment Analysis'!$E$22))</f>
        <v>0</v>
      </c>
      <c r="H57" s="35" t="n">
        <f aca="false">IF(H56=0,0,-IPMT('Equipment Analysis'!$E$23/12,H$3-'Equipment Analysis'!$E$8+1,'Equipment Analysis'!$E$24,'Equipment Analysis'!$E$22))</f>
        <v>0</v>
      </c>
      <c r="I57" s="35" t="n">
        <f aca="false">IF(I56=0,0,-IPMT('Equipment Analysis'!$E$23/12,I$3-'Equipment Analysis'!$E$8+1,'Equipment Analysis'!$E$24,'Equipment Analysis'!$E$22))</f>
        <v>0</v>
      </c>
      <c r="J57" s="35" t="n">
        <f aca="false">IF(J56=0,0,-IPMT('Equipment Analysis'!$E$23/12,J$3-'Equipment Analysis'!$E$8+1,'Equipment Analysis'!$E$24,'Equipment Analysis'!$E$22))</f>
        <v>0</v>
      </c>
      <c r="K57" s="35" t="n">
        <f aca="false">IF(K56=0,0,-IPMT('Equipment Analysis'!$E$23/12,K$3-'Equipment Analysis'!$E$8+1,'Equipment Analysis'!$E$24,'Equipment Analysis'!$E$22))</f>
        <v>0</v>
      </c>
      <c r="L57" s="35" t="n">
        <f aca="false">IF(L56=0,0,-IPMT('Equipment Analysis'!$E$23/12,L$3-'Equipment Analysis'!$E$8+1,'Equipment Analysis'!$E$24,'Equipment Analysis'!$E$22))</f>
        <v>0</v>
      </c>
      <c r="M57" s="35" t="n">
        <f aca="false">IF(M56=0,0,-IPMT('Equipment Analysis'!$E$23/12,M$3-'Equipment Analysis'!$E$8+1,'Equipment Analysis'!$E$24,'Equipment Analysis'!$E$22))</f>
        <v>0</v>
      </c>
      <c r="N57" s="35" t="n">
        <f aca="false">IF(N56=0,0,-IPMT('Equipment Analysis'!$E$23/12,N$3-'Equipment Analysis'!$E$8+1,'Equipment Analysis'!$E$24,'Equipment Analysis'!$E$22))</f>
        <v>0</v>
      </c>
      <c r="O57" s="35" t="n">
        <f aca="false">IF(O56=0,0,-IPMT('Equipment Analysis'!$E$23/12,O$3-'Equipment Analysis'!$E$8+1,'Equipment Analysis'!$E$24,'Equipment Analysis'!$E$22))</f>
        <v>0</v>
      </c>
      <c r="P57" s="35" t="n">
        <f aca="false">IF(P56=0,0,-IPMT('Equipment Analysis'!$E$23/12,P$3-'Equipment Analysis'!$E$8+1,'Equipment Analysis'!$E$24,'Equipment Analysis'!$E$22))</f>
        <v>0</v>
      </c>
      <c r="Q57" s="35" t="n">
        <f aca="false">IF(Q56=0,0,-IPMT('Equipment Analysis'!$E$23/12,Q$3-'Equipment Analysis'!$E$8+1,'Equipment Analysis'!$E$24,'Equipment Analysis'!$E$22))</f>
        <v>0</v>
      </c>
      <c r="R57" s="35" t="n">
        <f aca="false">IF(R56=0,0,-IPMT('Equipment Analysis'!$E$23/12,R$3-'Equipment Analysis'!$E$8+1,'Equipment Analysis'!$E$24,'Equipment Analysis'!$E$22))</f>
        <v>0</v>
      </c>
      <c r="S57" s="35" t="n">
        <f aca="false">IF(S56=0,0,-IPMT('Equipment Analysis'!$E$23/12,S$3-'Equipment Analysis'!$E$8+1,'Equipment Analysis'!$E$24,'Equipment Analysis'!$E$22))</f>
        <v>0</v>
      </c>
      <c r="T57" s="35" t="n">
        <f aca="false">IF(T56=0,0,-IPMT('Equipment Analysis'!$E$23/12,T$3-'Equipment Analysis'!$E$8+1,'Equipment Analysis'!$E$24,'Equipment Analysis'!$E$22))</f>
        <v>0</v>
      </c>
      <c r="U57" s="35" t="n">
        <f aca="false">IF(U56=0,0,-IPMT('Equipment Analysis'!$E$23/12,U$3-'Equipment Analysis'!$E$8+1,'Equipment Analysis'!$E$24,'Equipment Analysis'!$E$22))</f>
        <v>0</v>
      </c>
      <c r="V57" s="35" t="n">
        <f aca="false">IF(V56=0,0,-IPMT('Equipment Analysis'!$E$23/12,V$3-'Equipment Analysis'!$E$8+1,'Equipment Analysis'!$E$24,'Equipment Analysis'!$E$22))</f>
        <v>0</v>
      </c>
      <c r="W57" s="35" t="n">
        <f aca="false">IF(W56=0,0,-IPMT('Equipment Analysis'!$E$23/12,W$3-'Equipment Analysis'!$E$8+1,'Equipment Analysis'!$E$24,'Equipment Analysis'!$E$22))</f>
        <v>0</v>
      </c>
      <c r="X57" s="35" t="n">
        <f aca="false">IF(X56=0,0,-IPMT('Equipment Analysis'!$E$23/12,X$3-'Equipment Analysis'!$E$8+1,'Equipment Analysis'!$E$24,'Equipment Analysis'!$E$22))</f>
        <v>0</v>
      </c>
      <c r="Y57" s="35" t="n">
        <f aca="false">IF(Y56=0,0,-IPMT('Equipment Analysis'!$E$23/12,Y$3-'Equipment Analysis'!$E$8+1,'Equipment Analysis'!$E$24,'Equipment Analysis'!$E$22))</f>
        <v>0</v>
      </c>
      <c r="Z57" s="35" t="n">
        <f aca="false">IF(Z56=0,0,-IPMT('Equipment Analysis'!$E$23/12,Z$3-'Equipment Analysis'!$E$8+1,'Equipment Analysis'!$E$24,'Equipment Analysis'!$E$22))</f>
        <v>0</v>
      </c>
    </row>
    <row r="58" customFormat="false" ht="15" hidden="false" customHeight="false" outlineLevel="0" collapsed="false">
      <c r="A58" s="11" t="s">
        <v>403</v>
      </c>
      <c r="C58" s="35" t="n">
        <f aca="false">C56-C57</f>
        <v>0</v>
      </c>
      <c r="D58" s="35" t="n">
        <f aca="false">D56-D57</f>
        <v>0</v>
      </c>
      <c r="E58" s="35" t="n">
        <f aca="false">E56-E57</f>
        <v>0</v>
      </c>
      <c r="F58" s="35" t="n">
        <f aca="false">F56-F57</f>
        <v>0</v>
      </c>
      <c r="G58" s="35" t="n">
        <f aca="false">G56-G57</f>
        <v>0</v>
      </c>
      <c r="H58" s="35" t="n">
        <f aca="false">H56-H57</f>
        <v>0</v>
      </c>
      <c r="I58" s="35" t="n">
        <f aca="false">I56-I57</f>
        <v>0</v>
      </c>
      <c r="J58" s="35" t="n">
        <f aca="false">J56-J57</f>
        <v>0</v>
      </c>
      <c r="K58" s="35" t="n">
        <f aca="false">K56-K57</f>
        <v>0</v>
      </c>
      <c r="L58" s="35" t="n">
        <f aca="false">L56-L57</f>
        <v>0</v>
      </c>
      <c r="M58" s="35" t="n">
        <f aca="false">M56-M57</f>
        <v>0</v>
      </c>
      <c r="N58" s="35" t="n">
        <f aca="false">N56-N57</f>
        <v>0</v>
      </c>
      <c r="O58" s="35" t="n">
        <f aca="false">O56-O57</f>
        <v>0</v>
      </c>
      <c r="P58" s="35" t="n">
        <f aca="false">P56-P57</f>
        <v>0</v>
      </c>
      <c r="Q58" s="35" t="n">
        <f aca="false">Q56-Q57</f>
        <v>0</v>
      </c>
      <c r="R58" s="35" t="n">
        <f aca="false">R56-R57</f>
        <v>0</v>
      </c>
      <c r="S58" s="35" t="n">
        <f aca="false">S56-S57</f>
        <v>0</v>
      </c>
      <c r="T58" s="35" t="n">
        <f aca="false">T56-T57</f>
        <v>0</v>
      </c>
      <c r="U58" s="35" t="n">
        <f aca="false">U56-U57</f>
        <v>0</v>
      </c>
      <c r="V58" s="35" t="n">
        <f aca="false">V56-V57</f>
        <v>0</v>
      </c>
      <c r="W58" s="35" t="n">
        <f aca="false">W56-W57</f>
        <v>0</v>
      </c>
      <c r="X58" s="35" t="n">
        <f aca="false">X56-X57</f>
        <v>0</v>
      </c>
      <c r="Y58" s="35" t="n">
        <f aca="false">Y56-Y57</f>
        <v>0</v>
      </c>
      <c r="Z58" s="35" t="n">
        <f aca="false">Z56-Z57</f>
        <v>0</v>
      </c>
    </row>
    <row r="59" customFormat="false" ht="15" hidden="false" customHeight="false" outlineLevel="0" collapsed="false">
      <c r="A59" s="11" t="s">
        <v>404</v>
      </c>
      <c r="C59" s="35" t="n">
        <f aca="false">IF(AND('Equipment Analysis'!$E$7="Yes",C$3&gt;='Equipment Analysis'!$E$8),('Equipment Analysis'!$E$38+IF(AND('Equipment Analysis'!$E$19="Lease",C$3&lt;='Equipment Analysis'!$E$8+'Equipment Analysis'!$E$27-1),'Equipment Analysis'!$E$26,0))*Assumptions!$B$62,0)</f>
        <v>0</v>
      </c>
      <c r="D59" s="35" t="n">
        <f aca="false">IF(AND('Equipment Analysis'!$E$7="Yes",D$3&gt;='Equipment Analysis'!$E$8),('Equipment Analysis'!$E$38+IF(AND('Equipment Analysis'!$E$19="Lease",D$3&lt;='Equipment Analysis'!$E$8+'Equipment Analysis'!$E$27-1),'Equipment Analysis'!$E$26,0))*Assumptions!$B$62,0)</f>
        <v>0</v>
      </c>
      <c r="E59" s="35" t="n">
        <f aca="false">IF(AND('Equipment Analysis'!$E$7="Yes",E$3&gt;='Equipment Analysis'!$E$8),('Equipment Analysis'!$E$38+IF(AND('Equipment Analysis'!$E$19="Lease",E$3&lt;='Equipment Analysis'!$E$8+'Equipment Analysis'!$E$27-1),'Equipment Analysis'!$E$26,0))*Assumptions!$B$62,0)</f>
        <v>0</v>
      </c>
      <c r="F59" s="35" t="n">
        <f aca="false">IF(AND('Equipment Analysis'!$E$7="Yes",F$3&gt;='Equipment Analysis'!$E$8),('Equipment Analysis'!$E$38+IF(AND('Equipment Analysis'!$E$19="Lease",F$3&lt;='Equipment Analysis'!$E$8+'Equipment Analysis'!$E$27-1),'Equipment Analysis'!$E$26,0))*Assumptions!$B$62,0)</f>
        <v>0</v>
      </c>
      <c r="G59" s="35" t="n">
        <f aca="false">IF(AND('Equipment Analysis'!$E$7="Yes",G$3&gt;='Equipment Analysis'!$E$8),('Equipment Analysis'!$E$38+IF(AND('Equipment Analysis'!$E$19="Lease",G$3&lt;='Equipment Analysis'!$E$8+'Equipment Analysis'!$E$27-1),'Equipment Analysis'!$E$26,0))*Assumptions!$B$62,0)</f>
        <v>0</v>
      </c>
      <c r="H59" s="35" t="n">
        <f aca="false">IF(AND('Equipment Analysis'!$E$7="Yes",H$3&gt;='Equipment Analysis'!$E$8),('Equipment Analysis'!$E$38+IF(AND('Equipment Analysis'!$E$19="Lease",H$3&lt;='Equipment Analysis'!$E$8+'Equipment Analysis'!$E$27-1),'Equipment Analysis'!$E$26,0))*Assumptions!$B$62,0)</f>
        <v>0</v>
      </c>
      <c r="I59" s="35" t="n">
        <f aca="false">IF(AND('Equipment Analysis'!$E$7="Yes",I$3&gt;='Equipment Analysis'!$E$8),('Equipment Analysis'!$E$38+IF(AND('Equipment Analysis'!$E$19="Lease",I$3&lt;='Equipment Analysis'!$E$8+'Equipment Analysis'!$E$27-1),'Equipment Analysis'!$E$26,0))*Assumptions!$B$62,0)</f>
        <v>0</v>
      </c>
      <c r="J59" s="35" t="n">
        <f aca="false">IF(AND('Equipment Analysis'!$E$7="Yes",J$3&gt;='Equipment Analysis'!$E$8),('Equipment Analysis'!$E$38+IF(AND('Equipment Analysis'!$E$19="Lease",J$3&lt;='Equipment Analysis'!$E$8+'Equipment Analysis'!$E$27-1),'Equipment Analysis'!$E$26,0))*Assumptions!$B$62,0)</f>
        <v>0</v>
      </c>
      <c r="K59" s="35" t="n">
        <f aca="false">IF(AND('Equipment Analysis'!$E$7="Yes",K$3&gt;='Equipment Analysis'!$E$8),('Equipment Analysis'!$E$38+IF(AND('Equipment Analysis'!$E$19="Lease",K$3&lt;='Equipment Analysis'!$E$8+'Equipment Analysis'!$E$27-1),'Equipment Analysis'!$E$26,0))*Assumptions!$B$62,0)</f>
        <v>0</v>
      </c>
      <c r="L59" s="35" t="n">
        <f aca="false">IF(AND('Equipment Analysis'!$E$7="Yes",L$3&gt;='Equipment Analysis'!$E$8),('Equipment Analysis'!$E$38+IF(AND('Equipment Analysis'!$E$19="Lease",L$3&lt;='Equipment Analysis'!$E$8+'Equipment Analysis'!$E$27-1),'Equipment Analysis'!$E$26,0))*Assumptions!$B$62,0)</f>
        <v>0</v>
      </c>
      <c r="M59" s="35" t="n">
        <f aca="false">IF(AND('Equipment Analysis'!$E$7="Yes",M$3&gt;='Equipment Analysis'!$E$8),('Equipment Analysis'!$E$38+IF(AND('Equipment Analysis'!$E$19="Lease",M$3&lt;='Equipment Analysis'!$E$8+'Equipment Analysis'!$E$27-1),'Equipment Analysis'!$E$26,0))*Assumptions!$B$62,0)</f>
        <v>0</v>
      </c>
      <c r="N59" s="35" t="n">
        <f aca="false">IF(AND('Equipment Analysis'!$E$7="Yes",N$3&gt;='Equipment Analysis'!$E$8),('Equipment Analysis'!$E$38+IF(AND('Equipment Analysis'!$E$19="Lease",N$3&lt;='Equipment Analysis'!$E$8+'Equipment Analysis'!$E$27-1),'Equipment Analysis'!$E$26,0))*Assumptions!$B$62,0)</f>
        <v>0</v>
      </c>
      <c r="O59" s="35" t="n">
        <f aca="false">IF(AND('Equipment Analysis'!$E$7="Yes",O$3&gt;='Equipment Analysis'!$E$8),('Equipment Analysis'!$E$38+IF(AND('Equipment Analysis'!$E$19="Lease",O$3&lt;='Equipment Analysis'!$E$8+'Equipment Analysis'!$E$27-1),'Equipment Analysis'!$E$26,0))*Assumptions!$B$62,0)</f>
        <v>0</v>
      </c>
      <c r="P59" s="35" t="n">
        <f aca="false">IF(AND('Equipment Analysis'!$E$7="Yes",P$3&gt;='Equipment Analysis'!$E$8),('Equipment Analysis'!$E$38+IF(AND('Equipment Analysis'!$E$19="Lease",P$3&lt;='Equipment Analysis'!$E$8+'Equipment Analysis'!$E$27-1),'Equipment Analysis'!$E$26,0))*Assumptions!$B$62,0)</f>
        <v>0</v>
      </c>
      <c r="Q59" s="35" t="n">
        <f aca="false">IF(AND('Equipment Analysis'!$E$7="Yes",Q$3&gt;='Equipment Analysis'!$E$8),('Equipment Analysis'!$E$38+IF(AND('Equipment Analysis'!$E$19="Lease",Q$3&lt;='Equipment Analysis'!$E$8+'Equipment Analysis'!$E$27-1),'Equipment Analysis'!$E$26,0))*Assumptions!$B$62,0)</f>
        <v>0</v>
      </c>
      <c r="R59" s="35" t="n">
        <f aca="false">IF(AND('Equipment Analysis'!$E$7="Yes",R$3&gt;='Equipment Analysis'!$E$8),('Equipment Analysis'!$E$38+IF(AND('Equipment Analysis'!$E$19="Lease",R$3&lt;='Equipment Analysis'!$E$8+'Equipment Analysis'!$E$27-1),'Equipment Analysis'!$E$26,0))*Assumptions!$B$62,0)</f>
        <v>0</v>
      </c>
      <c r="S59" s="35" t="n">
        <f aca="false">IF(AND('Equipment Analysis'!$E$7="Yes",S$3&gt;='Equipment Analysis'!$E$8),('Equipment Analysis'!$E$38+IF(AND('Equipment Analysis'!$E$19="Lease",S$3&lt;='Equipment Analysis'!$E$8+'Equipment Analysis'!$E$27-1),'Equipment Analysis'!$E$26,0))*Assumptions!$B$62,0)</f>
        <v>0</v>
      </c>
      <c r="T59" s="35" t="n">
        <f aca="false">IF(AND('Equipment Analysis'!$E$7="Yes",T$3&gt;='Equipment Analysis'!$E$8),('Equipment Analysis'!$E$38+IF(AND('Equipment Analysis'!$E$19="Lease",T$3&lt;='Equipment Analysis'!$E$8+'Equipment Analysis'!$E$27-1),'Equipment Analysis'!$E$26,0))*Assumptions!$B$62,0)</f>
        <v>0</v>
      </c>
      <c r="U59" s="35" t="n">
        <f aca="false">IF(AND('Equipment Analysis'!$E$7="Yes",U$3&gt;='Equipment Analysis'!$E$8),('Equipment Analysis'!$E$38+IF(AND('Equipment Analysis'!$E$19="Lease",U$3&lt;='Equipment Analysis'!$E$8+'Equipment Analysis'!$E$27-1),'Equipment Analysis'!$E$26,0))*Assumptions!$B$62,0)</f>
        <v>0</v>
      </c>
      <c r="V59" s="35" t="n">
        <f aca="false">IF(AND('Equipment Analysis'!$E$7="Yes",V$3&gt;='Equipment Analysis'!$E$8),('Equipment Analysis'!$E$38+IF(AND('Equipment Analysis'!$E$19="Lease",V$3&lt;='Equipment Analysis'!$E$8+'Equipment Analysis'!$E$27-1),'Equipment Analysis'!$E$26,0))*Assumptions!$B$62,0)</f>
        <v>0</v>
      </c>
      <c r="W59" s="35" t="n">
        <f aca="false">IF(AND('Equipment Analysis'!$E$7="Yes",W$3&gt;='Equipment Analysis'!$E$8),('Equipment Analysis'!$E$38+IF(AND('Equipment Analysis'!$E$19="Lease",W$3&lt;='Equipment Analysis'!$E$8+'Equipment Analysis'!$E$27-1),'Equipment Analysis'!$E$26,0))*Assumptions!$B$62,0)</f>
        <v>0</v>
      </c>
      <c r="X59" s="35" t="n">
        <f aca="false">IF(AND('Equipment Analysis'!$E$7="Yes",X$3&gt;='Equipment Analysis'!$E$8),('Equipment Analysis'!$E$38+IF(AND('Equipment Analysis'!$E$19="Lease",X$3&lt;='Equipment Analysis'!$E$8+'Equipment Analysis'!$E$27-1),'Equipment Analysis'!$E$26,0))*Assumptions!$B$62,0)</f>
        <v>0</v>
      </c>
      <c r="Y59" s="35" t="n">
        <f aca="false">IF(AND('Equipment Analysis'!$E$7="Yes",Y$3&gt;='Equipment Analysis'!$E$8),('Equipment Analysis'!$E$38+IF(AND('Equipment Analysis'!$E$19="Lease",Y$3&lt;='Equipment Analysis'!$E$8+'Equipment Analysis'!$E$27-1),'Equipment Analysis'!$E$26,0))*Assumptions!$B$62,0)</f>
        <v>0</v>
      </c>
      <c r="Z59" s="35" t="n">
        <f aca="false">IF(AND('Equipment Analysis'!$E$7="Yes",Z$3&gt;='Equipment Analysis'!$E$8),('Equipment Analysis'!$E$38+IF(AND('Equipment Analysis'!$E$19="Lease",Z$3&lt;='Equipment Analysis'!$E$8+'Equipment Analysis'!$E$27-1),'Equipment Analysis'!$E$26,0))*Assumptions!$B$62,0)</f>
        <v>0</v>
      </c>
    </row>
    <row r="60" customFormat="false" ht="15" hidden="false" customHeight="false" outlineLevel="0" collapsed="false">
      <c r="A60" s="11" t="s">
        <v>405</v>
      </c>
      <c r="C60" s="35" t="n">
        <f aca="false">IF(AND('Equipment Analysis'!$E$7="Yes",C$3&gt;='Equipment Analysis'!$E$8),'Equipment Analysis'!$E$47/12*MIN(1,(C$3-'Equipment Analysis'!$E$8+1)/MAX(1,'Equipment Analysis'!$E$48))*Assumptions!$B$61,0)</f>
        <v>0</v>
      </c>
      <c r="D60" s="35" t="n">
        <f aca="false">IF(AND('Equipment Analysis'!$E$7="Yes",D$3&gt;='Equipment Analysis'!$E$8),'Equipment Analysis'!$E$47/12*MIN(1,(D$3-'Equipment Analysis'!$E$8+1)/MAX(1,'Equipment Analysis'!$E$48))*Assumptions!$B$61,0)</f>
        <v>0</v>
      </c>
      <c r="E60" s="35" t="n">
        <f aca="false">IF(AND('Equipment Analysis'!$E$7="Yes",E$3&gt;='Equipment Analysis'!$E$8),'Equipment Analysis'!$E$47/12*MIN(1,(E$3-'Equipment Analysis'!$E$8+1)/MAX(1,'Equipment Analysis'!$E$48))*Assumptions!$B$61,0)</f>
        <v>0</v>
      </c>
      <c r="F60" s="35" t="n">
        <f aca="false">IF(AND('Equipment Analysis'!$E$7="Yes",F$3&gt;='Equipment Analysis'!$E$8),'Equipment Analysis'!$E$47/12*MIN(1,(F$3-'Equipment Analysis'!$E$8+1)/MAX(1,'Equipment Analysis'!$E$48))*Assumptions!$B$61,0)</f>
        <v>0</v>
      </c>
      <c r="G60" s="35" t="n">
        <f aca="false">IF(AND('Equipment Analysis'!$E$7="Yes",G$3&gt;='Equipment Analysis'!$E$8),'Equipment Analysis'!$E$47/12*MIN(1,(G$3-'Equipment Analysis'!$E$8+1)/MAX(1,'Equipment Analysis'!$E$48))*Assumptions!$B$61,0)</f>
        <v>0</v>
      </c>
      <c r="H60" s="35" t="n">
        <f aca="false">IF(AND('Equipment Analysis'!$E$7="Yes",H$3&gt;='Equipment Analysis'!$E$8),'Equipment Analysis'!$E$47/12*MIN(1,(H$3-'Equipment Analysis'!$E$8+1)/MAX(1,'Equipment Analysis'!$E$48))*Assumptions!$B$61,0)</f>
        <v>0</v>
      </c>
      <c r="I60" s="35" t="n">
        <f aca="false">IF(AND('Equipment Analysis'!$E$7="Yes",I$3&gt;='Equipment Analysis'!$E$8),'Equipment Analysis'!$E$47/12*MIN(1,(I$3-'Equipment Analysis'!$E$8+1)/MAX(1,'Equipment Analysis'!$E$48))*Assumptions!$B$61,0)</f>
        <v>0</v>
      </c>
      <c r="J60" s="35" t="n">
        <f aca="false">IF(AND('Equipment Analysis'!$E$7="Yes",J$3&gt;='Equipment Analysis'!$E$8),'Equipment Analysis'!$E$47/12*MIN(1,(J$3-'Equipment Analysis'!$E$8+1)/MAX(1,'Equipment Analysis'!$E$48))*Assumptions!$B$61,0)</f>
        <v>0</v>
      </c>
      <c r="K60" s="35" t="n">
        <f aca="false">IF(AND('Equipment Analysis'!$E$7="Yes",K$3&gt;='Equipment Analysis'!$E$8),'Equipment Analysis'!$E$47/12*MIN(1,(K$3-'Equipment Analysis'!$E$8+1)/MAX(1,'Equipment Analysis'!$E$48))*Assumptions!$B$61,0)</f>
        <v>0</v>
      </c>
      <c r="L60" s="35" t="n">
        <f aca="false">IF(AND('Equipment Analysis'!$E$7="Yes",L$3&gt;='Equipment Analysis'!$E$8),'Equipment Analysis'!$E$47/12*MIN(1,(L$3-'Equipment Analysis'!$E$8+1)/MAX(1,'Equipment Analysis'!$E$48))*Assumptions!$B$61,0)</f>
        <v>0</v>
      </c>
      <c r="M60" s="35" t="n">
        <f aca="false">IF(AND('Equipment Analysis'!$E$7="Yes",M$3&gt;='Equipment Analysis'!$E$8),'Equipment Analysis'!$E$47/12*MIN(1,(M$3-'Equipment Analysis'!$E$8+1)/MAX(1,'Equipment Analysis'!$E$48))*Assumptions!$B$61,0)</f>
        <v>0</v>
      </c>
      <c r="N60" s="35" t="n">
        <f aca="false">IF(AND('Equipment Analysis'!$E$7="Yes",N$3&gt;='Equipment Analysis'!$E$8),'Equipment Analysis'!$E$47/12*MIN(1,(N$3-'Equipment Analysis'!$E$8+1)/MAX(1,'Equipment Analysis'!$E$48))*Assumptions!$B$61,0)</f>
        <v>0</v>
      </c>
      <c r="O60" s="35" t="n">
        <f aca="false">IF(AND('Equipment Analysis'!$E$7="Yes",O$3&gt;='Equipment Analysis'!$E$8),'Equipment Analysis'!$E$47/12*MIN(1,(O$3-'Equipment Analysis'!$E$8+1)/MAX(1,'Equipment Analysis'!$E$48))*Assumptions!$B$61,0)</f>
        <v>0</v>
      </c>
      <c r="P60" s="35" t="n">
        <f aca="false">IF(AND('Equipment Analysis'!$E$7="Yes",P$3&gt;='Equipment Analysis'!$E$8),'Equipment Analysis'!$E$47/12*MIN(1,(P$3-'Equipment Analysis'!$E$8+1)/MAX(1,'Equipment Analysis'!$E$48))*Assumptions!$B$61,0)</f>
        <v>0</v>
      </c>
      <c r="Q60" s="35" t="n">
        <f aca="false">IF(AND('Equipment Analysis'!$E$7="Yes",Q$3&gt;='Equipment Analysis'!$E$8),'Equipment Analysis'!$E$47/12*MIN(1,(Q$3-'Equipment Analysis'!$E$8+1)/MAX(1,'Equipment Analysis'!$E$48))*Assumptions!$B$61,0)</f>
        <v>0</v>
      </c>
      <c r="R60" s="35" t="n">
        <f aca="false">IF(AND('Equipment Analysis'!$E$7="Yes",R$3&gt;='Equipment Analysis'!$E$8),'Equipment Analysis'!$E$47/12*MIN(1,(R$3-'Equipment Analysis'!$E$8+1)/MAX(1,'Equipment Analysis'!$E$48))*Assumptions!$B$61,0)</f>
        <v>0</v>
      </c>
      <c r="S60" s="35" t="n">
        <f aca="false">IF(AND('Equipment Analysis'!$E$7="Yes",S$3&gt;='Equipment Analysis'!$E$8),'Equipment Analysis'!$E$47/12*MIN(1,(S$3-'Equipment Analysis'!$E$8+1)/MAX(1,'Equipment Analysis'!$E$48))*Assumptions!$B$61,0)</f>
        <v>0</v>
      </c>
      <c r="T60" s="35" t="n">
        <f aca="false">IF(AND('Equipment Analysis'!$E$7="Yes",T$3&gt;='Equipment Analysis'!$E$8),'Equipment Analysis'!$E$47/12*MIN(1,(T$3-'Equipment Analysis'!$E$8+1)/MAX(1,'Equipment Analysis'!$E$48))*Assumptions!$B$61,0)</f>
        <v>0</v>
      </c>
      <c r="U60" s="35" t="n">
        <f aca="false">IF(AND('Equipment Analysis'!$E$7="Yes",U$3&gt;='Equipment Analysis'!$E$8),'Equipment Analysis'!$E$47/12*MIN(1,(U$3-'Equipment Analysis'!$E$8+1)/MAX(1,'Equipment Analysis'!$E$48))*Assumptions!$B$61,0)</f>
        <v>0</v>
      </c>
      <c r="V60" s="35" t="n">
        <f aca="false">IF(AND('Equipment Analysis'!$E$7="Yes",V$3&gt;='Equipment Analysis'!$E$8),'Equipment Analysis'!$E$47/12*MIN(1,(V$3-'Equipment Analysis'!$E$8+1)/MAX(1,'Equipment Analysis'!$E$48))*Assumptions!$B$61,0)</f>
        <v>0</v>
      </c>
      <c r="W60" s="35" t="n">
        <f aca="false">IF(AND('Equipment Analysis'!$E$7="Yes",W$3&gt;='Equipment Analysis'!$E$8),'Equipment Analysis'!$E$47/12*MIN(1,(W$3-'Equipment Analysis'!$E$8+1)/MAX(1,'Equipment Analysis'!$E$48))*Assumptions!$B$61,0)</f>
        <v>0</v>
      </c>
      <c r="X60" s="35" t="n">
        <f aca="false">IF(AND('Equipment Analysis'!$E$7="Yes",X$3&gt;='Equipment Analysis'!$E$8),'Equipment Analysis'!$E$47/12*MIN(1,(X$3-'Equipment Analysis'!$E$8+1)/MAX(1,'Equipment Analysis'!$E$48))*Assumptions!$B$61,0)</f>
        <v>0</v>
      </c>
      <c r="Y60" s="35" t="n">
        <f aca="false">IF(AND('Equipment Analysis'!$E$7="Yes",Y$3&gt;='Equipment Analysis'!$E$8),'Equipment Analysis'!$E$47/12*MIN(1,(Y$3-'Equipment Analysis'!$E$8+1)/MAX(1,'Equipment Analysis'!$E$48))*Assumptions!$B$61,0)</f>
        <v>0</v>
      </c>
      <c r="Z60" s="35" t="n">
        <f aca="false">IF(AND('Equipment Analysis'!$E$7="Yes",Z$3&gt;='Equipment Analysis'!$E$8),'Equipment Analysis'!$E$47/12*MIN(1,(Z$3-'Equipment Analysis'!$E$8+1)/MAX(1,'Equipment Analysis'!$E$48))*Assumptions!$B$61,0)</f>
        <v>0</v>
      </c>
    </row>
    <row r="61" customFormat="false" ht="15" hidden="false" customHeight="false" outlineLevel="0" collapsed="false">
      <c r="A61" s="11" t="s">
        <v>406</v>
      </c>
      <c r="C61" s="35" t="n">
        <f aca="false">IF(OR('Equipment Analysis'!$E$7&lt;&gt;"Yes",'Equipment Analysis'!$E$51=0,C$3&lt;'Equipment Analysis'!$E$8),0,IF(C$3&lt;='Equipment Analysis'!$E$8+11,'Equipment Analysis'!$E$56/12,'Equipment Analysis'!$E$57/12))</f>
        <v>0</v>
      </c>
      <c r="D61" s="35" t="n">
        <f aca="false">IF(OR('Equipment Analysis'!$E$7&lt;&gt;"Yes",'Equipment Analysis'!$E$51=0,D$3&lt;'Equipment Analysis'!$E$8),0,IF(D$3&lt;='Equipment Analysis'!$E$8+11,'Equipment Analysis'!$E$56/12,'Equipment Analysis'!$E$57/12))</f>
        <v>0</v>
      </c>
      <c r="E61" s="35" t="n">
        <f aca="false">IF(OR('Equipment Analysis'!$E$7&lt;&gt;"Yes",'Equipment Analysis'!$E$51=0,E$3&lt;'Equipment Analysis'!$E$8),0,IF(E$3&lt;='Equipment Analysis'!$E$8+11,'Equipment Analysis'!$E$56/12,'Equipment Analysis'!$E$57/12))</f>
        <v>0</v>
      </c>
      <c r="F61" s="35" t="n">
        <f aca="false">IF(OR('Equipment Analysis'!$E$7&lt;&gt;"Yes",'Equipment Analysis'!$E$51=0,F$3&lt;'Equipment Analysis'!$E$8),0,IF(F$3&lt;='Equipment Analysis'!$E$8+11,'Equipment Analysis'!$E$56/12,'Equipment Analysis'!$E$57/12))</f>
        <v>0</v>
      </c>
      <c r="G61" s="35" t="n">
        <f aca="false">IF(OR('Equipment Analysis'!$E$7&lt;&gt;"Yes",'Equipment Analysis'!$E$51=0,G$3&lt;'Equipment Analysis'!$E$8),0,IF(G$3&lt;='Equipment Analysis'!$E$8+11,'Equipment Analysis'!$E$56/12,'Equipment Analysis'!$E$57/12))</f>
        <v>0</v>
      </c>
      <c r="H61" s="35" t="n">
        <f aca="false">IF(OR('Equipment Analysis'!$E$7&lt;&gt;"Yes",'Equipment Analysis'!$E$51=0,H$3&lt;'Equipment Analysis'!$E$8),0,IF(H$3&lt;='Equipment Analysis'!$E$8+11,'Equipment Analysis'!$E$56/12,'Equipment Analysis'!$E$57/12))</f>
        <v>0</v>
      </c>
      <c r="I61" s="35" t="n">
        <f aca="false">IF(OR('Equipment Analysis'!$E$7&lt;&gt;"Yes",'Equipment Analysis'!$E$51=0,I$3&lt;'Equipment Analysis'!$E$8),0,IF(I$3&lt;='Equipment Analysis'!$E$8+11,'Equipment Analysis'!$E$56/12,'Equipment Analysis'!$E$57/12))</f>
        <v>0</v>
      </c>
      <c r="J61" s="35" t="n">
        <f aca="false">IF(OR('Equipment Analysis'!$E$7&lt;&gt;"Yes",'Equipment Analysis'!$E$51=0,J$3&lt;'Equipment Analysis'!$E$8),0,IF(J$3&lt;='Equipment Analysis'!$E$8+11,'Equipment Analysis'!$E$56/12,'Equipment Analysis'!$E$57/12))</f>
        <v>0</v>
      </c>
      <c r="K61" s="35" t="n">
        <f aca="false">IF(OR('Equipment Analysis'!$E$7&lt;&gt;"Yes",'Equipment Analysis'!$E$51=0,K$3&lt;'Equipment Analysis'!$E$8),0,IF(K$3&lt;='Equipment Analysis'!$E$8+11,'Equipment Analysis'!$E$56/12,'Equipment Analysis'!$E$57/12))</f>
        <v>0</v>
      </c>
      <c r="L61" s="35" t="n">
        <f aca="false">IF(OR('Equipment Analysis'!$E$7&lt;&gt;"Yes",'Equipment Analysis'!$E$51=0,L$3&lt;'Equipment Analysis'!$E$8),0,IF(L$3&lt;='Equipment Analysis'!$E$8+11,'Equipment Analysis'!$E$56/12,'Equipment Analysis'!$E$57/12))</f>
        <v>0</v>
      </c>
      <c r="M61" s="35" t="n">
        <f aca="false">IF(OR('Equipment Analysis'!$E$7&lt;&gt;"Yes",'Equipment Analysis'!$E$51=0,M$3&lt;'Equipment Analysis'!$E$8),0,IF(M$3&lt;='Equipment Analysis'!$E$8+11,'Equipment Analysis'!$E$56/12,'Equipment Analysis'!$E$57/12))</f>
        <v>0</v>
      </c>
      <c r="N61" s="35" t="n">
        <f aca="false">IF(OR('Equipment Analysis'!$E$7&lt;&gt;"Yes",'Equipment Analysis'!$E$51=0,N$3&lt;'Equipment Analysis'!$E$8),0,IF(N$3&lt;='Equipment Analysis'!$E$8+11,'Equipment Analysis'!$E$56/12,'Equipment Analysis'!$E$57/12))</f>
        <v>0</v>
      </c>
      <c r="O61" s="35" t="n">
        <f aca="false">IF(OR('Equipment Analysis'!$E$7&lt;&gt;"Yes",'Equipment Analysis'!$E$51=0,O$3&lt;'Equipment Analysis'!$E$8),0,IF(O$3&lt;='Equipment Analysis'!$E$8+11,'Equipment Analysis'!$E$56/12,'Equipment Analysis'!$E$57/12))</f>
        <v>0</v>
      </c>
      <c r="P61" s="35" t="n">
        <f aca="false">IF(OR('Equipment Analysis'!$E$7&lt;&gt;"Yes",'Equipment Analysis'!$E$51=0,P$3&lt;'Equipment Analysis'!$E$8),0,IF(P$3&lt;='Equipment Analysis'!$E$8+11,'Equipment Analysis'!$E$56/12,'Equipment Analysis'!$E$57/12))</f>
        <v>0</v>
      </c>
      <c r="Q61" s="35" t="n">
        <f aca="false">IF(OR('Equipment Analysis'!$E$7&lt;&gt;"Yes",'Equipment Analysis'!$E$51=0,Q$3&lt;'Equipment Analysis'!$E$8),0,IF(Q$3&lt;='Equipment Analysis'!$E$8+11,'Equipment Analysis'!$E$56/12,'Equipment Analysis'!$E$57/12))</f>
        <v>0</v>
      </c>
      <c r="R61" s="35" t="n">
        <f aca="false">IF(OR('Equipment Analysis'!$E$7&lt;&gt;"Yes",'Equipment Analysis'!$E$51=0,R$3&lt;'Equipment Analysis'!$E$8),0,IF(R$3&lt;='Equipment Analysis'!$E$8+11,'Equipment Analysis'!$E$56/12,'Equipment Analysis'!$E$57/12))</f>
        <v>0</v>
      </c>
      <c r="S61" s="35" t="n">
        <f aca="false">IF(OR('Equipment Analysis'!$E$7&lt;&gt;"Yes",'Equipment Analysis'!$E$51=0,S$3&lt;'Equipment Analysis'!$E$8),0,IF(S$3&lt;='Equipment Analysis'!$E$8+11,'Equipment Analysis'!$E$56/12,'Equipment Analysis'!$E$57/12))</f>
        <v>0</v>
      </c>
      <c r="T61" s="35" t="n">
        <f aca="false">IF(OR('Equipment Analysis'!$E$7&lt;&gt;"Yes",'Equipment Analysis'!$E$51=0,T$3&lt;'Equipment Analysis'!$E$8),0,IF(T$3&lt;='Equipment Analysis'!$E$8+11,'Equipment Analysis'!$E$56/12,'Equipment Analysis'!$E$57/12))</f>
        <v>0</v>
      </c>
      <c r="U61" s="35" t="n">
        <f aca="false">IF(OR('Equipment Analysis'!$E$7&lt;&gt;"Yes",'Equipment Analysis'!$E$51=0,U$3&lt;'Equipment Analysis'!$E$8),0,IF(U$3&lt;='Equipment Analysis'!$E$8+11,'Equipment Analysis'!$E$56/12,'Equipment Analysis'!$E$57/12))</f>
        <v>0</v>
      </c>
      <c r="V61" s="35" t="n">
        <f aca="false">IF(OR('Equipment Analysis'!$E$7&lt;&gt;"Yes",'Equipment Analysis'!$E$51=0,V$3&lt;'Equipment Analysis'!$E$8),0,IF(V$3&lt;='Equipment Analysis'!$E$8+11,'Equipment Analysis'!$E$56/12,'Equipment Analysis'!$E$57/12))</f>
        <v>0</v>
      </c>
      <c r="W61" s="35" t="n">
        <f aca="false">IF(OR('Equipment Analysis'!$E$7&lt;&gt;"Yes",'Equipment Analysis'!$E$51=0,W$3&lt;'Equipment Analysis'!$E$8),0,IF(W$3&lt;='Equipment Analysis'!$E$8+11,'Equipment Analysis'!$E$56/12,'Equipment Analysis'!$E$57/12))</f>
        <v>0</v>
      </c>
      <c r="X61" s="35" t="n">
        <f aca="false">IF(OR('Equipment Analysis'!$E$7&lt;&gt;"Yes",'Equipment Analysis'!$E$51=0,X$3&lt;'Equipment Analysis'!$E$8),0,IF(X$3&lt;='Equipment Analysis'!$E$8+11,'Equipment Analysis'!$E$56/12,'Equipment Analysis'!$E$57/12))</f>
        <v>0</v>
      </c>
      <c r="Y61" s="35" t="n">
        <f aca="false">IF(OR('Equipment Analysis'!$E$7&lt;&gt;"Yes",'Equipment Analysis'!$E$51=0,Y$3&lt;'Equipment Analysis'!$E$8),0,IF(Y$3&lt;='Equipment Analysis'!$E$8+11,'Equipment Analysis'!$E$56/12,'Equipment Analysis'!$E$57/12))</f>
        <v>0</v>
      </c>
      <c r="Z61" s="35" t="n">
        <f aca="false">IF(OR('Equipment Analysis'!$E$7&lt;&gt;"Yes",'Equipment Analysis'!$E$51=0,Z$3&lt;'Equipment Analysis'!$E$8),0,IF(Z$3&lt;='Equipment Analysis'!$E$8+11,'Equipment Analysis'!$E$56/12,'Equipment Analysis'!$E$57/12))</f>
        <v>0</v>
      </c>
    </row>
    <row r="62" customFormat="false" ht="15" hidden="false" customHeight="false" outlineLevel="0" collapsed="false">
      <c r="A62" s="36" t="s">
        <v>407</v>
      </c>
      <c r="C62" s="37" t="n">
        <f aca="false">C60-C59-C54-C55</f>
        <v>0</v>
      </c>
      <c r="D62" s="37" t="n">
        <f aca="false">D60-D59-D54-D55</f>
        <v>0</v>
      </c>
      <c r="E62" s="37" t="n">
        <f aca="false">E60-E59-E54-E55</f>
        <v>0</v>
      </c>
      <c r="F62" s="37" t="n">
        <f aca="false">F60-F59-F54-F55</f>
        <v>0</v>
      </c>
      <c r="G62" s="37" t="n">
        <f aca="false">G60-G59-G54-G55</f>
        <v>0</v>
      </c>
      <c r="H62" s="37" t="n">
        <f aca="false">H60-H59-H54-H55</f>
        <v>0</v>
      </c>
      <c r="I62" s="37" t="n">
        <f aca="false">I60-I59-I54-I55</f>
        <v>0</v>
      </c>
      <c r="J62" s="37" t="n">
        <f aca="false">J60-J59-J54-J55</f>
        <v>0</v>
      </c>
      <c r="K62" s="37" t="n">
        <f aca="false">K60-K59-K54-K55</f>
        <v>0</v>
      </c>
      <c r="L62" s="37" t="n">
        <f aca="false">L60-L59-L54-L55</f>
        <v>0</v>
      </c>
      <c r="M62" s="37" t="n">
        <f aca="false">M60-M59-M54-M55</f>
        <v>0</v>
      </c>
      <c r="N62" s="37" t="n">
        <f aca="false">N60-N59-N54-N55</f>
        <v>0</v>
      </c>
      <c r="O62" s="37" t="n">
        <f aca="false">O60-O59-O54-O55</f>
        <v>0</v>
      </c>
      <c r="P62" s="37" t="n">
        <f aca="false">P60-P59-P54-P55</f>
        <v>0</v>
      </c>
      <c r="Q62" s="37" t="n">
        <f aca="false">Q60-Q59-Q54-Q55</f>
        <v>0</v>
      </c>
      <c r="R62" s="37" t="n">
        <f aca="false">R60-R59-R54-R55</f>
        <v>0</v>
      </c>
      <c r="S62" s="37" t="n">
        <f aca="false">S60-S59-S54-S55</f>
        <v>0</v>
      </c>
      <c r="T62" s="37" t="n">
        <f aca="false">T60-T59-T54-T55</f>
        <v>0</v>
      </c>
      <c r="U62" s="37" t="n">
        <f aca="false">U60-U59-U54-U55</f>
        <v>0</v>
      </c>
      <c r="V62" s="37" t="n">
        <f aca="false">V60-V59-V54-V55</f>
        <v>0</v>
      </c>
      <c r="W62" s="37" t="n">
        <f aca="false">W60-W59-W54-W55</f>
        <v>0</v>
      </c>
      <c r="X62" s="37" t="n">
        <f aca="false">X60-X59-X54-X55</f>
        <v>0</v>
      </c>
      <c r="Y62" s="37" t="n">
        <f aca="false">Y60-Y59-Y54-Y55</f>
        <v>0</v>
      </c>
      <c r="Z62" s="37" t="n">
        <f aca="false">Z60-Z59-Z54-Z55</f>
        <v>0</v>
      </c>
    </row>
    <row r="63" customFormat="false" ht="15" hidden="false" customHeight="false" outlineLevel="0" collapsed="false">
      <c r="A63" s="11" t="s">
        <v>408</v>
      </c>
      <c r="C63" s="35" t="n">
        <f aca="false">IF(AND('Equipment Analysis'!$F$7="Yes",C$3='Equipment Analysis'!$F$8),'Equipment Analysis'!$F$28,0)</f>
        <v>0</v>
      </c>
      <c r="D63" s="35" t="n">
        <f aca="false">IF(AND('Equipment Analysis'!$F$7="Yes",D$3='Equipment Analysis'!$F$8),'Equipment Analysis'!$F$28,0)</f>
        <v>0</v>
      </c>
      <c r="E63" s="35" t="n">
        <f aca="false">IF(AND('Equipment Analysis'!$F$7="Yes",E$3='Equipment Analysis'!$F$8),'Equipment Analysis'!$F$28,0)</f>
        <v>0</v>
      </c>
      <c r="F63" s="35" t="n">
        <f aca="false">IF(AND('Equipment Analysis'!$F$7="Yes",F$3='Equipment Analysis'!$F$8),'Equipment Analysis'!$F$28,0)</f>
        <v>0</v>
      </c>
      <c r="G63" s="35" t="n">
        <f aca="false">IF(AND('Equipment Analysis'!$F$7="Yes",G$3='Equipment Analysis'!$F$8),'Equipment Analysis'!$F$28,0)</f>
        <v>0</v>
      </c>
      <c r="H63" s="35" t="n">
        <f aca="false">IF(AND('Equipment Analysis'!$F$7="Yes",H$3='Equipment Analysis'!$F$8),'Equipment Analysis'!$F$28,0)</f>
        <v>0</v>
      </c>
      <c r="I63" s="35" t="n">
        <f aca="false">IF(AND('Equipment Analysis'!$F$7="Yes",I$3='Equipment Analysis'!$F$8),'Equipment Analysis'!$F$28,0)</f>
        <v>0</v>
      </c>
      <c r="J63" s="35" t="n">
        <f aca="false">IF(AND('Equipment Analysis'!$F$7="Yes",J$3='Equipment Analysis'!$F$8),'Equipment Analysis'!$F$28,0)</f>
        <v>0</v>
      </c>
      <c r="K63" s="35" t="n">
        <f aca="false">IF(AND('Equipment Analysis'!$F$7="Yes",K$3='Equipment Analysis'!$F$8),'Equipment Analysis'!$F$28,0)</f>
        <v>0</v>
      </c>
      <c r="L63" s="35" t="n">
        <f aca="false">IF(AND('Equipment Analysis'!$F$7="Yes",L$3='Equipment Analysis'!$F$8),'Equipment Analysis'!$F$28,0)</f>
        <v>0</v>
      </c>
      <c r="M63" s="35" t="n">
        <f aca="false">IF(AND('Equipment Analysis'!$F$7="Yes",M$3='Equipment Analysis'!$F$8),'Equipment Analysis'!$F$28,0)</f>
        <v>0</v>
      </c>
      <c r="N63" s="35" t="n">
        <f aca="false">IF(AND('Equipment Analysis'!$F$7="Yes",N$3='Equipment Analysis'!$F$8),'Equipment Analysis'!$F$28,0)</f>
        <v>0</v>
      </c>
      <c r="O63" s="35" t="n">
        <f aca="false">IF(AND('Equipment Analysis'!$F$7="Yes",O$3='Equipment Analysis'!$F$8),'Equipment Analysis'!$F$28,0)</f>
        <v>0</v>
      </c>
      <c r="P63" s="35" t="n">
        <f aca="false">IF(AND('Equipment Analysis'!$F$7="Yes",P$3='Equipment Analysis'!$F$8),'Equipment Analysis'!$F$28,0)</f>
        <v>0</v>
      </c>
      <c r="Q63" s="35" t="n">
        <f aca="false">IF(AND('Equipment Analysis'!$F$7="Yes",Q$3='Equipment Analysis'!$F$8),'Equipment Analysis'!$F$28,0)</f>
        <v>0</v>
      </c>
      <c r="R63" s="35" t="n">
        <f aca="false">IF(AND('Equipment Analysis'!$F$7="Yes",R$3='Equipment Analysis'!$F$8),'Equipment Analysis'!$F$28,0)</f>
        <v>0</v>
      </c>
      <c r="S63" s="35" t="n">
        <f aca="false">IF(AND('Equipment Analysis'!$F$7="Yes",S$3='Equipment Analysis'!$F$8),'Equipment Analysis'!$F$28,0)</f>
        <v>0</v>
      </c>
      <c r="T63" s="35" t="n">
        <f aca="false">IF(AND('Equipment Analysis'!$F$7="Yes",T$3='Equipment Analysis'!$F$8),'Equipment Analysis'!$F$28,0)</f>
        <v>0</v>
      </c>
      <c r="U63" s="35" t="n">
        <f aca="false">IF(AND('Equipment Analysis'!$F$7="Yes",U$3='Equipment Analysis'!$F$8),'Equipment Analysis'!$F$28,0)</f>
        <v>0</v>
      </c>
      <c r="V63" s="35" t="n">
        <f aca="false">IF(AND('Equipment Analysis'!$F$7="Yes",V$3='Equipment Analysis'!$F$8),'Equipment Analysis'!$F$28,0)</f>
        <v>0</v>
      </c>
      <c r="W63" s="35" t="n">
        <f aca="false">IF(AND('Equipment Analysis'!$F$7="Yes",W$3='Equipment Analysis'!$F$8),'Equipment Analysis'!$F$28,0)</f>
        <v>0</v>
      </c>
      <c r="X63" s="35" t="n">
        <f aca="false">IF(AND('Equipment Analysis'!$F$7="Yes",X$3='Equipment Analysis'!$F$8),'Equipment Analysis'!$F$28,0)</f>
        <v>0</v>
      </c>
      <c r="Y63" s="35" t="n">
        <f aca="false">IF(AND('Equipment Analysis'!$F$7="Yes",Y$3='Equipment Analysis'!$F$8),'Equipment Analysis'!$F$28,0)</f>
        <v>0</v>
      </c>
      <c r="Z63" s="35" t="n">
        <f aca="false">IF(AND('Equipment Analysis'!$F$7="Yes",Z$3='Equipment Analysis'!$F$8),'Equipment Analysis'!$F$28,0)</f>
        <v>0</v>
      </c>
    </row>
    <row r="64" customFormat="false" ht="15" hidden="false" customHeight="false" outlineLevel="0" collapsed="false">
      <c r="A64" s="11" t="s">
        <v>409</v>
      </c>
      <c r="C64" s="35" t="n">
        <f aca="false">IF(AND('Equipment Analysis'!$F$7="Yes",C$3='Equipment Analysis'!$F$8,'Equipment Analysis'!$F$19="Loan"),'Equipment Analysis'!$F$22,0)</f>
        <v>0</v>
      </c>
      <c r="D64" s="35" t="n">
        <f aca="false">IF(AND('Equipment Analysis'!$F$7="Yes",D$3='Equipment Analysis'!$F$8,'Equipment Analysis'!$F$19="Loan"),'Equipment Analysis'!$F$22,0)</f>
        <v>0</v>
      </c>
      <c r="E64" s="35" t="n">
        <f aca="false">IF(AND('Equipment Analysis'!$F$7="Yes",E$3='Equipment Analysis'!$F$8,'Equipment Analysis'!$F$19="Loan"),'Equipment Analysis'!$F$22,0)</f>
        <v>0</v>
      </c>
      <c r="F64" s="35" t="n">
        <f aca="false">IF(AND('Equipment Analysis'!$F$7="Yes",F$3='Equipment Analysis'!$F$8,'Equipment Analysis'!$F$19="Loan"),'Equipment Analysis'!$F$22,0)</f>
        <v>0</v>
      </c>
      <c r="G64" s="35" t="n">
        <f aca="false">IF(AND('Equipment Analysis'!$F$7="Yes",G$3='Equipment Analysis'!$F$8,'Equipment Analysis'!$F$19="Loan"),'Equipment Analysis'!$F$22,0)</f>
        <v>0</v>
      </c>
      <c r="H64" s="35" t="n">
        <f aca="false">IF(AND('Equipment Analysis'!$F$7="Yes",H$3='Equipment Analysis'!$F$8,'Equipment Analysis'!$F$19="Loan"),'Equipment Analysis'!$F$22,0)</f>
        <v>0</v>
      </c>
      <c r="I64" s="35" t="n">
        <f aca="false">IF(AND('Equipment Analysis'!$F$7="Yes",I$3='Equipment Analysis'!$F$8,'Equipment Analysis'!$F$19="Loan"),'Equipment Analysis'!$F$22,0)</f>
        <v>0</v>
      </c>
      <c r="J64" s="35" t="n">
        <f aca="false">IF(AND('Equipment Analysis'!$F$7="Yes",J$3='Equipment Analysis'!$F$8,'Equipment Analysis'!$F$19="Loan"),'Equipment Analysis'!$F$22,0)</f>
        <v>0</v>
      </c>
      <c r="K64" s="35" t="n">
        <f aca="false">IF(AND('Equipment Analysis'!$F$7="Yes",K$3='Equipment Analysis'!$F$8,'Equipment Analysis'!$F$19="Loan"),'Equipment Analysis'!$F$22,0)</f>
        <v>0</v>
      </c>
      <c r="L64" s="35" t="n">
        <f aca="false">IF(AND('Equipment Analysis'!$F$7="Yes",L$3='Equipment Analysis'!$F$8,'Equipment Analysis'!$F$19="Loan"),'Equipment Analysis'!$F$22,0)</f>
        <v>0</v>
      </c>
      <c r="M64" s="35" t="n">
        <f aca="false">IF(AND('Equipment Analysis'!$F$7="Yes",M$3='Equipment Analysis'!$F$8,'Equipment Analysis'!$F$19="Loan"),'Equipment Analysis'!$F$22,0)</f>
        <v>0</v>
      </c>
      <c r="N64" s="35" t="n">
        <f aca="false">IF(AND('Equipment Analysis'!$F$7="Yes",N$3='Equipment Analysis'!$F$8,'Equipment Analysis'!$F$19="Loan"),'Equipment Analysis'!$F$22,0)</f>
        <v>0</v>
      </c>
      <c r="O64" s="35" t="n">
        <f aca="false">IF(AND('Equipment Analysis'!$F$7="Yes",O$3='Equipment Analysis'!$F$8,'Equipment Analysis'!$F$19="Loan"),'Equipment Analysis'!$F$22,0)</f>
        <v>0</v>
      </c>
      <c r="P64" s="35" t="n">
        <f aca="false">IF(AND('Equipment Analysis'!$F$7="Yes",P$3='Equipment Analysis'!$F$8,'Equipment Analysis'!$F$19="Loan"),'Equipment Analysis'!$F$22,0)</f>
        <v>0</v>
      </c>
      <c r="Q64" s="35" t="n">
        <f aca="false">IF(AND('Equipment Analysis'!$F$7="Yes",Q$3='Equipment Analysis'!$F$8,'Equipment Analysis'!$F$19="Loan"),'Equipment Analysis'!$F$22,0)</f>
        <v>0</v>
      </c>
      <c r="R64" s="35" t="n">
        <f aca="false">IF(AND('Equipment Analysis'!$F$7="Yes",R$3='Equipment Analysis'!$F$8,'Equipment Analysis'!$F$19="Loan"),'Equipment Analysis'!$F$22,0)</f>
        <v>0</v>
      </c>
      <c r="S64" s="35" t="n">
        <f aca="false">IF(AND('Equipment Analysis'!$F$7="Yes",S$3='Equipment Analysis'!$F$8,'Equipment Analysis'!$F$19="Loan"),'Equipment Analysis'!$F$22,0)</f>
        <v>0</v>
      </c>
      <c r="T64" s="35" t="n">
        <f aca="false">IF(AND('Equipment Analysis'!$F$7="Yes",T$3='Equipment Analysis'!$F$8,'Equipment Analysis'!$F$19="Loan"),'Equipment Analysis'!$F$22,0)</f>
        <v>0</v>
      </c>
      <c r="U64" s="35" t="n">
        <f aca="false">IF(AND('Equipment Analysis'!$F$7="Yes",U$3='Equipment Analysis'!$F$8,'Equipment Analysis'!$F$19="Loan"),'Equipment Analysis'!$F$22,0)</f>
        <v>0</v>
      </c>
      <c r="V64" s="35" t="n">
        <f aca="false">IF(AND('Equipment Analysis'!$F$7="Yes",V$3='Equipment Analysis'!$F$8,'Equipment Analysis'!$F$19="Loan"),'Equipment Analysis'!$F$22,0)</f>
        <v>0</v>
      </c>
      <c r="W64" s="35" t="n">
        <f aca="false">IF(AND('Equipment Analysis'!$F$7="Yes",W$3='Equipment Analysis'!$F$8,'Equipment Analysis'!$F$19="Loan"),'Equipment Analysis'!$F$22,0)</f>
        <v>0</v>
      </c>
      <c r="X64" s="35" t="n">
        <f aca="false">IF(AND('Equipment Analysis'!$F$7="Yes",X$3='Equipment Analysis'!$F$8,'Equipment Analysis'!$F$19="Loan"),'Equipment Analysis'!$F$22,0)</f>
        <v>0</v>
      </c>
      <c r="Y64" s="35" t="n">
        <f aca="false">IF(AND('Equipment Analysis'!$F$7="Yes",Y$3='Equipment Analysis'!$F$8,'Equipment Analysis'!$F$19="Loan"),'Equipment Analysis'!$F$22,0)</f>
        <v>0</v>
      </c>
      <c r="Z64" s="35" t="n">
        <f aca="false">IF(AND('Equipment Analysis'!$F$7="Yes",Z$3='Equipment Analysis'!$F$8,'Equipment Analysis'!$F$19="Loan"),'Equipment Analysis'!$F$22,0)</f>
        <v>0</v>
      </c>
    </row>
    <row r="65" customFormat="false" ht="15" hidden="false" customHeight="false" outlineLevel="0" collapsed="false">
      <c r="A65" s="11" t="s">
        <v>410</v>
      </c>
      <c r="C65" s="35" t="n">
        <f aca="false">IF(AND('Equipment Analysis'!$F$7="Yes",'Equipment Analysis'!$F$19="Loan",C$3&gt;='Equipment Analysis'!$F$8,C$3&lt;='Equipment Analysis'!$F$8+'Equipment Analysis'!$F$24-1),'Equipment Analysis'!$F$25,0)</f>
        <v>0</v>
      </c>
      <c r="D65" s="35" t="n">
        <f aca="false">IF(AND('Equipment Analysis'!$F$7="Yes",'Equipment Analysis'!$F$19="Loan",D$3&gt;='Equipment Analysis'!$F$8,D$3&lt;='Equipment Analysis'!$F$8+'Equipment Analysis'!$F$24-1),'Equipment Analysis'!$F$25,0)</f>
        <v>0</v>
      </c>
      <c r="E65" s="35" t="n">
        <f aca="false">IF(AND('Equipment Analysis'!$F$7="Yes",'Equipment Analysis'!$F$19="Loan",E$3&gt;='Equipment Analysis'!$F$8,E$3&lt;='Equipment Analysis'!$F$8+'Equipment Analysis'!$F$24-1),'Equipment Analysis'!$F$25,0)</f>
        <v>0</v>
      </c>
      <c r="F65" s="35" t="n">
        <f aca="false">IF(AND('Equipment Analysis'!$F$7="Yes",'Equipment Analysis'!$F$19="Loan",F$3&gt;='Equipment Analysis'!$F$8,F$3&lt;='Equipment Analysis'!$F$8+'Equipment Analysis'!$F$24-1),'Equipment Analysis'!$F$25,0)</f>
        <v>0</v>
      </c>
      <c r="G65" s="35" t="n">
        <f aca="false">IF(AND('Equipment Analysis'!$F$7="Yes",'Equipment Analysis'!$F$19="Loan",G$3&gt;='Equipment Analysis'!$F$8,G$3&lt;='Equipment Analysis'!$F$8+'Equipment Analysis'!$F$24-1),'Equipment Analysis'!$F$25,0)</f>
        <v>0</v>
      </c>
      <c r="H65" s="35" t="n">
        <f aca="false">IF(AND('Equipment Analysis'!$F$7="Yes",'Equipment Analysis'!$F$19="Loan",H$3&gt;='Equipment Analysis'!$F$8,H$3&lt;='Equipment Analysis'!$F$8+'Equipment Analysis'!$F$24-1),'Equipment Analysis'!$F$25,0)</f>
        <v>0</v>
      </c>
      <c r="I65" s="35" t="n">
        <f aca="false">IF(AND('Equipment Analysis'!$F$7="Yes",'Equipment Analysis'!$F$19="Loan",I$3&gt;='Equipment Analysis'!$F$8,I$3&lt;='Equipment Analysis'!$F$8+'Equipment Analysis'!$F$24-1),'Equipment Analysis'!$F$25,0)</f>
        <v>0</v>
      </c>
      <c r="J65" s="35" t="n">
        <f aca="false">IF(AND('Equipment Analysis'!$F$7="Yes",'Equipment Analysis'!$F$19="Loan",J$3&gt;='Equipment Analysis'!$F$8,J$3&lt;='Equipment Analysis'!$F$8+'Equipment Analysis'!$F$24-1),'Equipment Analysis'!$F$25,0)</f>
        <v>0</v>
      </c>
      <c r="K65" s="35" t="n">
        <f aca="false">IF(AND('Equipment Analysis'!$F$7="Yes",'Equipment Analysis'!$F$19="Loan",K$3&gt;='Equipment Analysis'!$F$8,K$3&lt;='Equipment Analysis'!$F$8+'Equipment Analysis'!$F$24-1),'Equipment Analysis'!$F$25,0)</f>
        <v>0</v>
      </c>
      <c r="L65" s="35" t="n">
        <f aca="false">IF(AND('Equipment Analysis'!$F$7="Yes",'Equipment Analysis'!$F$19="Loan",L$3&gt;='Equipment Analysis'!$F$8,L$3&lt;='Equipment Analysis'!$F$8+'Equipment Analysis'!$F$24-1),'Equipment Analysis'!$F$25,0)</f>
        <v>0</v>
      </c>
      <c r="M65" s="35" t="n">
        <f aca="false">IF(AND('Equipment Analysis'!$F$7="Yes",'Equipment Analysis'!$F$19="Loan",M$3&gt;='Equipment Analysis'!$F$8,M$3&lt;='Equipment Analysis'!$F$8+'Equipment Analysis'!$F$24-1),'Equipment Analysis'!$F$25,0)</f>
        <v>0</v>
      </c>
      <c r="N65" s="35" t="n">
        <f aca="false">IF(AND('Equipment Analysis'!$F$7="Yes",'Equipment Analysis'!$F$19="Loan",N$3&gt;='Equipment Analysis'!$F$8,N$3&lt;='Equipment Analysis'!$F$8+'Equipment Analysis'!$F$24-1),'Equipment Analysis'!$F$25,0)</f>
        <v>0</v>
      </c>
      <c r="O65" s="35" t="n">
        <f aca="false">IF(AND('Equipment Analysis'!$F$7="Yes",'Equipment Analysis'!$F$19="Loan",O$3&gt;='Equipment Analysis'!$F$8,O$3&lt;='Equipment Analysis'!$F$8+'Equipment Analysis'!$F$24-1),'Equipment Analysis'!$F$25,0)</f>
        <v>0</v>
      </c>
      <c r="P65" s="35" t="n">
        <f aca="false">IF(AND('Equipment Analysis'!$F$7="Yes",'Equipment Analysis'!$F$19="Loan",P$3&gt;='Equipment Analysis'!$F$8,P$3&lt;='Equipment Analysis'!$F$8+'Equipment Analysis'!$F$24-1),'Equipment Analysis'!$F$25,0)</f>
        <v>0</v>
      </c>
      <c r="Q65" s="35" t="n">
        <f aca="false">IF(AND('Equipment Analysis'!$F$7="Yes",'Equipment Analysis'!$F$19="Loan",Q$3&gt;='Equipment Analysis'!$F$8,Q$3&lt;='Equipment Analysis'!$F$8+'Equipment Analysis'!$F$24-1),'Equipment Analysis'!$F$25,0)</f>
        <v>0</v>
      </c>
      <c r="R65" s="35" t="n">
        <f aca="false">IF(AND('Equipment Analysis'!$F$7="Yes",'Equipment Analysis'!$F$19="Loan",R$3&gt;='Equipment Analysis'!$F$8,R$3&lt;='Equipment Analysis'!$F$8+'Equipment Analysis'!$F$24-1),'Equipment Analysis'!$F$25,0)</f>
        <v>0</v>
      </c>
      <c r="S65" s="35" t="n">
        <f aca="false">IF(AND('Equipment Analysis'!$F$7="Yes",'Equipment Analysis'!$F$19="Loan",S$3&gt;='Equipment Analysis'!$F$8,S$3&lt;='Equipment Analysis'!$F$8+'Equipment Analysis'!$F$24-1),'Equipment Analysis'!$F$25,0)</f>
        <v>0</v>
      </c>
      <c r="T65" s="35" t="n">
        <f aca="false">IF(AND('Equipment Analysis'!$F$7="Yes",'Equipment Analysis'!$F$19="Loan",T$3&gt;='Equipment Analysis'!$F$8,T$3&lt;='Equipment Analysis'!$F$8+'Equipment Analysis'!$F$24-1),'Equipment Analysis'!$F$25,0)</f>
        <v>0</v>
      </c>
      <c r="U65" s="35" t="n">
        <f aca="false">IF(AND('Equipment Analysis'!$F$7="Yes",'Equipment Analysis'!$F$19="Loan",U$3&gt;='Equipment Analysis'!$F$8,U$3&lt;='Equipment Analysis'!$F$8+'Equipment Analysis'!$F$24-1),'Equipment Analysis'!$F$25,0)</f>
        <v>0</v>
      </c>
      <c r="V65" s="35" t="n">
        <f aca="false">IF(AND('Equipment Analysis'!$F$7="Yes",'Equipment Analysis'!$F$19="Loan",V$3&gt;='Equipment Analysis'!$F$8,V$3&lt;='Equipment Analysis'!$F$8+'Equipment Analysis'!$F$24-1),'Equipment Analysis'!$F$25,0)</f>
        <v>0</v>
      </c>
      <c r="W65" s="35" t="n">
        <f aca="false">IF(AND('Equipment Analysis'!$F$7="Yes",'Equipment Analysis'!$F$19="Loan",W$3&gt;='Equipment Analysis'!$F$8,W$3&lt;='Equipment Analysis'!$F$8+'Equipment Analysis'!$F$24-1),'Equipment Analysis'!$F$25,0)</f>
        <v>0</v>
      </c>
      <c r="X65" s="35" t="n">
        <f aca="false">IF(AND('Equipment Analysis'!$F$7="Yes",'Equipment Analysis'!$F$19="Loan",X$3&gt;='Equipment Analysis'!$F$8,X$3&lt;='Equipment Analysis'!$F$8+'Equipment Analysis'!$F$24-1),'Equipment Analysis'!$F$25,0)</f>
        <v>0</v>
      </c>
      <c r="Y65" s="35" t="n">
        <f aca="false">IF(AND('Equipment Analysis'!$F$7="Yes",'Equipment Analysis'!$F$19="Loan",Y$3&gt;='Equipment Analysis'!$F$8,Y$3&lt;='Equipment Analysis'!$F$8+'Equipment Analysis'!$F$24-1),'Equipment Analysis'!$F$25,0)</f>
        <v>0</v>
      </c>
      <c r="Z65" s="35" t="n">
        <f aca="false">IF(AND('Equipment Analysis'!$F$7="Yes",'Equipment Analysis'!$F$19="Loan",Z$3&gt;='Equipment Analysis'!$F$8,Z$3&lt;='Equipment Analysis'!$F$8+'Equipment Analysis'!$F$24-1),'Equipment Analysis'!$F$25,0)</f>
        <v>0</v>
      </c>
    </row>
    <row r="66" customFormat="false" ht="15" hidden="false" customHeight="false" outlineLevel="0" collapsed="false">
      <c r="A66" s="11" t="s">
        <v>411</v>
      </c>
      <c r="C66" s="35" t="n">
        <f aca="false">IF(C65=0,0,-IPMT('Equipment Analysis'!$F$23/12,C$3-'Equipment Analysis'!$F$8+1,'Equipment Analysis'!$F$24,'Equipment Analysis'!$F$22))</f>
        <v>0</v>
      </c>
      <c r="D66" s="35" t="n">
        <f aca="false">IF(D65=0,0,-IPMT('Equipment Analysis'!$F$23/12,D$3-'Equipment Analysis'!$F$8+1,'Equipment Analysis'!$F$24,'Equipment Analysis'!$F$22))</f>
        <v>0</v>
      </c>
      <c r="E66" s="35" t="n">
        <f aca="false">IF(E65=0,0,-IPMT('Equipment Analysis'!$F$23/12,E$3-'Equipment Analysis'!$F$8+1,'Equipment Analysis'!$F$24,'Equipment Analysis'!$F$22))</f>
        <v>0</v>
      </c>
      <c r="F66" s="35" t="n">
        <f aca="false">IF(F65=0,0,-IPMT('Equipment Analysis'!$F$23/12,F$3-'Equipment Analysis'!$F$8+1,'Equipment Analysis'!$F$24,'Equipment Analysis'!$F$22))</f>
        <v>0</v>
      </c>
      <c r="G66" s="35" t="n">
        <f aca="false">IF(G65=0,0,-IPMT('Equipment Analysis'!$F$23/12,G$3-'Equipment Analysis'!$F$8+1,'Equipment Analysis'!$F$24,'Equipment Analysis'!$F$22))</f>
        <v>0</v>
      </c>
      <c r="H66" s="35" t="n">
        <f aca="false">IF(H65=0,0,-IPMT('Equipment Analysis'!$F$23/12,H$3-'Equipment Analysis'!$F$8+1,'Equipment Analysis'!$F$24,'Equipment Analysis'!$F$22))</f>
        <v>0</v>
      </c>
      <c r="I66" s="35" t="n">
        <f aca="false">IF(I65=0,0,-IPMT('Equipment Analysis'!$F$23/12,I$3-'Equipment Analysis'!$F$8+1,'Equipment Analysis'!$F$24,'Equipment Analysis'!$F$22))</f>
        <v>0</v>
      </c>
      <c r="J66" s="35" t="n">
        <f aca="false">IF(J65=0,0,-IPMT('Equipment Analysis'!$F$23/12,J$3-'Equipment Analysis'!$F$8+1,'Equipment Analysis'!$F$24,'Equipment Analysis'!$F$22))</f>
        <v>0</v>
      </c>
      <c r="K66" s="35" t="n">
        <f aca="false">IF(K65=0,0,-IPMT('Equipment Analysis'!$F$23/12,K$3-'Equipment Analysis'!$F$8+1,'Equipment Analysis'!$F$24,'Equipment Analysis'!$F$22))</f>
        <v>0</v>
      </c>
      <c r="L66" s="35" t="n">
        <f aca="false">IF(L65=0,0,-IPMT('Equipment Analysis'!$F$23/12,L$3-'Equipment Analysis'!$F$8+1,'Equipment Analysis'!$F$24,'Equipment Analysis'!$F$22))</f>
        <v>0</v>
      </c>
      <c r="M66" s="35" t="n">
        <f aca="false">IF(M65=0,0,-IPMT('Equipment Analysis'!$F$23/12,M$3-'Equipment Analysis'!$F$8+1,'Equipment Analysis'!$F$24,'Equipment Analysis'!$F$22))</f>
        <v>0</v>
      </c>
      <c r="N66" s="35" t="n">
        <f aca="false">IF(N65=0,0,-IPMT('Equipment Analysis'!$F$23/12,N$3-'Equipment Analysis'!$F$8+1,'Equipment Analysis'!$F$24,'Equipment Analysis'!$F$22))</f>
        <v>0</v>
      </c>
      <c r="O66" s="35" t="n">
        <f aca="false">IF(O65=0,0,-IPMT('Equipment Analysis'!$F$23/12,O$3-'Equipment Analysis'!$F$8+1,'Equipment Analysis'!$F$24,'Equipment Analysis'!$F$22))</f>
        <v>0</v>
      </c>
      <c r="P66" s="35" t="n">
        <f aca="false">IF(P65=0,0,-IPMT('Equipment Analysis'!$F$23/12,P$3-'Equipment Analysis'!$F$8+1,'Equipment Analysis'!$F$24,'Equipment Analysis'!$F$22))</f>
        <v>0</v>
      </c>
      <c r="Q66" s="35" t="n">
        <f aca="false">IF(Q65=0,0,-IPMT('Equipment Analysis'!$F$23/12,Q$3-'Equipment Analysis'!$F$8+1,'Equipment Analysis'!$F$24,'Equipment Analysis'!$F$22))</f>
        <v>0</v>
      </c>
      <c r="R66" s="35" t="n">
        <f aca="false">IF(R65=0,0,-IPMT('Equipment Analysis'!$F$23/12,R$3-'Equipment Analysis'!$F$8+1,'Equipment Analysis'!$F$24,'Equipment Analysis'!$F$22))</f>
        <v>0</v>
      </c>
      <c r="S66" s="35" t="n">
        <f aca="false">IF(S65=0,0,-IPMT('Equipment Analysis'!$F$23/12,S$3-'Equipment Analysis'!$F$8+1,'Equipment Analysis'!$F$24,'Equipment Analysis'!$F$22))</f>
        <v>0</v>
      </c>
      <c r="T66" s="35" t="n">
        <f aca="false">IF(T65=0,0,-IPMT('Equipment Analysis'!$F$23/12,T$3-'Equipment Analysis'!$F$8+1,'Equipment Analysis'!$F$24,'Equipment Analysis'!$F$22))</f>
        <v>0</v>
      </c>
      <c r="U66" s="35" t="n">
        <f aca="false">IF(U65=0,0,-IPMT('Equipment Analysis'!$F$23/12,U$3-'Equipment Analysis'!$F$8+1,'Equipment Analysis'!$F$24,'Equipment Analysis'!$F$22))</f>
        <v>0</v>
      </c>
      <c r="V66" s="35" t="n">
        <f aca="false">IF(V65=0,0,-IPMT('Equipment Analysis'!$F$23/12,V$3-'Equipment Analysis'!$F$8+1,'Equipment Analysis'!$F$24,'Equipment Analysis'!$F$22))</f>
        <v>0</v>
      </c>
      <c r="W66" s="35" t="n">
        <f aca="false">IF(W65=0,0,-IPMT('Equipment Analysis'!$F$23/12,W$3-'Equipment Analysis'!$F$8+1,'Equipment Analysis'!$F$24,'Equipment Analysis'!$F$22))</f>
        <v>0</v>
      </c>
      <c r="X66" s="35" t="n">
        <f aca="false">IF(X65=0,0,-IPMT('Equipment Analysis'!$F$23/12,X$3-'Equipment Analysis'!$F$8+1,'Equipment Analysis'!$F$24,'Equipment Analysis'!$F$22))</f>
        <v>0</v>
      </c>
      <c r="Y66" s="35" t="n">
        <f aca="false">IF(Y65=0,0,-IPMT('Equipment Analysis'!$F$23/12,Y$3-'Equipment Analysis'!$F$8+1,'Equipment Analysis'!$F$24,'Equipment Analysis'!$F$22))</f>
        <v>0</v>
      </c>
      <c r="Z66" s="35" t="n">
        <f aca="false">IF(Z65=0,0,-IPMT('Equipment Analysis'!$F$23/12,Z$3-'Equipment Analysis'!$F$8+1,'Equipment Analysis'!$F$24,'Equipment Analysis'!$F$22))</f>
        <v>0</v>
      </c>
    </row>
    <row r="67" customFormat="false" ht="15" hidden="false" customHeight="false" outlineLevel="0" collapsed="false">
      <c r="A67" s="11" t="s">
        <v>412</v>
      </c>
      <c r="C67" s="35" t="n">
        <f aca="false">C65-C66</f>
        <v>0</v>
      </c>
      <c r="D67" s="35" t="n">
        <f aca="false">D65-D66</f>
        <v>0</v>
      </c>
      <c r="E67" s="35" t="n">
        <f aca="false">E65-E66</f>
        <v>0</v>
      </c>
      <c r="F67" s="35" t="n">
        <f aca="false">F65-F66</f>
        <v>0</v>
      </c>
      <c r="G67" s="35" t="n">
        <f aca="false">G65-G66</f>
        <v>0</v>
      </c>
      <c r="H67" s="35" t="n">
        <f aca="false">H65-H66</f>
        <v>0</v>
      </c>
      <c r="I67" s="35" t="n">
        <f aca="false">I65-I66</f>
        <v>0</v>
      </c>
      <c r="J67" s="35" t="n">
        <f aca="false">J65-J66</f>
        <v>0</v>
      </c>
      <c r="K67" s="35" t="n">
        <f aca="false">K65-K66</f>
        <v>0</v>
      </c>
      <c r="L67" s="35" t="n">
        <f aca="false">L65-L66</f>
        <v>0</v>
      </c>
      <c r="M67" s="35" t="n">
        <f aca="false">M65-M66</f>
        <v>0</v>
      </c>
      <c r="N67" s="35" t="n">
        <f aca="false">N65-N66</f>
        <v>0</v>
      </c>
      <c r="O67" s="35" t="n">
        <f aca="false">O65-O66</f>
        <v>0</v>
      </c>
      <c r="P67" s="35" t="n">
        <f aca="false">P65-P66</f>
        <v>0</v>
      </c>
      <c r="Q67" s="35" t="n">
        <f aca="false">Q65-Q66</f>
        <v>0</v>
      </c>
      <c r="R67" s="35" t="n">
        <f aca="false">R65-R66</f>
        <v>0</v>
      </c>
      <c r="S67" s="35" t="n">
        <f aca="false">S65-S66</f>
        <v>0</v>
      </c>
      <c r="T67" s="35" t="n">
        <f aca="false">T65-T66</f>
        <v>0</v>
      </c>
      <c r="U67" s="35" t="n">
        <f aca="false">U65-U66</f>
        <v>0</v>
      </c>
      <c r="V67" s="35" t="n">
        <f aca="false">V65-V66</f>
        <v>0</v>
      </c>
      <c r="W67" s="35" t="n">
        <f aca="false">W65-W66</f>
        <v>0</v>
      </c>
      <c r="X67" s="35" t="n">
        <f aca="false">X65-X66</f>
        <v>0</v>
      </c>
      <c r="Y67" s="35" t="n">
        <f aca="false">Y65-Y66</f>
        <v>0</v>
      </c>
      <c r="Z67" s="35" t="n">
        <f aca="false">Z65-Z66</f>
        <v>0</v>
      </c>
    </row>
    <row r="68" customFormat="false" ht="15" hidden="false" customHeight="false" outlineLevel="0" collapsed="false">
      <c r="A68" s="11" t="s">
        <v>413</v>
      </c>
      <c r="C68" s="35" t="n">
        <f aca="false">IF(AND('Equipment Analysis'!$F$7="Yes",C$3&gt;='Equipment Analysis'!$F$8),('Equipment Analysis'!$F$38+IF(AND('Equipment Analysis'!$F$19="Lease",C$3&lt;='Equipment Analysis'!$F$8+'Equipment Analysis'!$F$27-1),'Equipment Analysis'!$F$26,0))*Assumptions!$B$62,0)</f>
        <v>0</v>
      </c>
      <c r="D68" s="35" t="n">
        <f aca="false">IF(AND('Equipment Analysis'!$F$7="Yes",D$3&gt;='Equipment Analysis'!$F$8),('Equipment Analysis'!$F$38+IF(AND('Equipment Analysis'!$F$19="Lease",D$3&lt;='Equipment Analysis'!$F$8+'Equipment Analysis'!$F$27-1),'Equipment Analysis'!$F$26,0))*Assumptions!$B$62,0)</f>
        <v>0</v>
      </c>
      <c r="E68" s="35" t="n">
        <f aca="false">IF(AND('Equipment Analysis'!$F$7="Yes",E$3&gt;='Equipment Analysis'!$F$8),('Equipment Analysis'!$F$38+IF(AND('Equipment Analysis'!$F$19="Lease",E$3&lt;='Equipment Analysis'!$F$8+'Equipment Analysis'!$F$27-1),'Equipment Analysis'!$F$26,0))*Assumptions!$B$62,0)</f>
        <v>0</v>
      </c>
      <c r="F68" s="35" t="n">
        <f aca="false">IF(AND('Equipment Analysis'!$F$7="Yes",F$3&gt;='Equipment Analysis'!$F$8),('Equipment Analysis'!$F$38+IF(AND('Equipment Analysis'!$F$19="Lease",F$3&lt;='Equipment Analysis'!$F$8+'Equipment Analysis'!$F$27-1),'Equipment Analysis'!$F$26,0))*Assumptions!$B$62,0)</f>
        <v>0</v>
      </c>
      <c r="G68" s="35" t="n">
        <f aca="false">IF(AND('Equipment Analysis'!$F$7="Yes",G$3&gt;='Equipment Analysis'!$F$8),('Equipment Analysis'!$F$38+IF(AND('Equipment Analysis'!$F$19="Lease",G$3&lt;='Equipment Analysis'!$F$8+'Equipment Analysis'!$F$27-1),'Equipment Analysis'!$F$26,0))*Assumptions!$B$62,0)</f>
        <v>0</v>
      </c>
      <c r="H68" s="35" t="n">
        <f aca="false">IF(AND('Equipment Analysis'!$F$7="Yes",H$3&gt;='Equipment Analysis'!$F$8),('Equipment Analysis'!$F$38+IF(AND('Equipment Analysis'!$F$19="Lease",H$3&lt;='Equipment Analysis'!$F$8+'Equipment Analysis'!$F$27-1),'Equipment Analysis'!$F$26,0))*Assumptions!$B$62,0)</f>
        <v>0</v>
      </c>
      <c r="I68" s="35" t="n">
        <f aca="false">IF(AND('Equipment Analysis'!$F$7="Yes",I$3&gt;='Equipment Analysis'!$F$8),('Equipment Analysis'!$F$38+IF(AND('Equipment Analysis'!$F$19="Lease",I$3&lt;='Equipment Analysis'!$F$8+'Equipment Analysis'!$F$27-1),'Equipment Analysis'!$F$26,0))*Assumptions!$B$62,0)</f>
        <v>0</v>
      </c>
      <c r="J68" s="35" t="n">
        <f aca="false">IF(AND('Equipment Analysis'!$F$7="Yes",J$3&gt;='Equipment Analysis'!$F$8),('Equipment Analysis'!$F$38+IF(AND('Equipment Analysis'!$F$19="Lease",J$3&lt;='Equipment Analysis'!$F$8+'Equipment Analysis'!$F$27-1),'Equipment Analysis'!$F$26,0))*Assumptions!$B$62,0)</f>
        <v>0</v>
      </c>
      <c r="K68" s="35" t="n">
        <f aca="false">IF(AND('Equipment Analysis'!$F$7="Yes",K$3&gt;='Equipment Analysis'!$F$8),('Equipment Analysis'!$F$38+IF(AND('Equipment Analysis'!$F$19="Lease",K$3&lt;='Equipment Analysis'!$F$8+'Equipment Analysis'!$F$27-1),'Equipment Analysis'!$F$26,0))*Assumptions!$B$62,0)</f>
        <v>0</v>
      </c>
      <c r="L68" s="35" t="n">
        <f aca="false">IF(AND('Equipment Analysis'!$F$7="Yes",L$3&gt;='Equipment Analysis'!$F$8),('Equipment Analysis'!$F$38+IF(AND('Equipment Analysis'!$F$19="Lease",L$3&lt;='Equipment Analysis'!$F$8+'Equipment Analysis'!$F$27-1),'Equipment Analysis'!$F$26,0))*Assumptions!$B$62,0)</f>
        <v>0</v>
      </c>
      <c r="M68" s="35" t="n">
        <f aca="false">IF(AND('Equipment Analysis'!$F$7="Yes",M$3&gt;='Equipment Analysis'!$F$8),('Equipment Analysis'!$F$38+IF(AND('Equipment Analysis'!$F$19="Lease",M$3&lt;='Equipment Analysis'!$F$8+'Equipment Analysis'!$F$27-1),'Equipment Analysis'!$F$26,0))*Assumptions!$B$62,0)</f>
        <v>0</v>
      </c>
      <c r="N68" s="35" t="n">
        <f aca="false">IF(AND('Equipment Analysis'!$F$7="Yes",N$3&gt;='Equipment Analysis'!$F$8),('Equipment Analysis'!$F$38+IF(AND('Equipment Analysis'!$F$19="Lease",N$3&lt;='Equipment Analysis'!$F$8+'Equipment Analysis'!$F$27-1),'Equipment Analysis'!$F$26,0))*Assumptions!$B$62,0)</f>
        <v>0</v>
      </c>
      <c r="O68" s="35" t="n">
        <f aca="false">IF(AND('Equipment Analysis'!$F$7="Yes",O$3&gt;='Equipment Analysis'!$F$8),('Equipment Analysis'!$F$38+IF(AND('Equipment Analysis'!$F$19="Lease",O$3&lt;='Equipment Analysis'!$F$8+'Equipment Analysis'!$F$27-1),'Equipment Analysis'!$F$26,0))*Assumptions!$B$62,0)</f>
        <v>0</v>
      </c>
      <c r="P68" s="35" t="n">
        <f aca="false">IF(AND('Equipment Analysis'!$F$7="Yes",P$3&gt;='Equipment Analysis'!$F$8),('Equipment Analysis'!$F$38+IF(AND('Equipment Analysis'!$F$19="Lease",P$3&lt;='Equipment Analysis'!$F$8+'Equipment Analysis'!$F$27-1),'Equipment Analysis'!$F$26,0))*Assumptions!$B$62,0)</f>
        <v>0</v>
      </c>
      <c r="Q68" s="35" t="n">
        <f aca="false">IF(AND('Equipment Analysis'!$F$7="Yes",Q$3&gt;='Equipment Analysis'!$F$8),('Equipment Analysis'!$F$38+IF(AND('Equipment Analysis'!$F$19="Lease",Q$3&lt;='Equipment Analysis'!$F$8+'Equipment Analysis'!$F$27-1),'Equipment Analysis'!$F$26,0))*Assumptions!$B$62,0)</f>
        <v>0</v>
      </c>
      <c r="R68" s="35" t="n">
        <f aca="false">IF(AND('Equipment Analysis'!$F$7="Yes",R$3&gt;='Equipment Analysis'!$F$8),('Equipment Analysis'!$F$38+IF(AND('Equipment Analysis'!$F$19="Lease",R$3&lt;='Equipment Analysis'!$F$8+'Equipment Analysis'!$F$27-1),'Equipment Analysis'!$F$26,0))*Assumptions!$B$62,0)</f>
        <v>0</v>
      </c>
      <c r="S68" s="35" t="n">
        <f aca="false">IF(AND('Equipment Analysis'!$F$7="Yes",S$3&gt;='Equipment Analysis'!$F$8),('Equipment Analysis'!$F$38+IF(AND('Equipment Analysis'!$F$19="Lease",S$3&lt;='Equipment Analysis'!$F$8+'Equipment Analysis'!$F$27-1),'Equipment Analysis'!$F$26,0))*Assumptions!$B$62,0)</f>
        <v>0</v>
      </c>
      <c r="T68" s="35" t="n">
        <f aca="false">IF(AND('Equipment Analysis'!$F$7="Yes",T$3&gt;='Equipment Analysis'!$F$8),('Equipment Analysis'!$F$38+IF(AND('Equipment Analysis'!$F$19="Lease",T$3&lt;='Equipment Analysis'!$F$8+'Equipment Analysis'!$F$27-1),'Equipment Analysis'!$F$26,0))*Assumptions!$B$62,0)</f>
        <v>0</v>
      </c>
      <c r="U68" s="35" t="n">
        <f aca="false">IF(AND('Equipment Analysis'!$F$7="Yes",U$3&gt;='Equipment Analysis'!$F$8),('Equipment Analysis'!$F$38+IF(AND('Equipment Analysis'!$F$19="Lease",U$3&lt;='Equipment Analysis'!$F$8+'Equipment Analysis'!$F$27-1),'Equipment Analysis'!$F$26,0))*Assumptions!$B$62,0)</f>
        <v>0</v>
      </c>
      <c r="V68" s="35" t="n">
        <f aca="false">IF(AND('Equipment Analysis'!$F$7="Yes",V$3&gt;='Equipment Analysis'!$F$8),('Equipment Analysis'!$F$38+IF(AND('Equipment Analysis'!$F$19="Lease",V$3&lt;='Equipment Analysis'!$F$8+'Equipment Analysis'!$F$27-1),'Equipment Analysis'!$F$26,0))*Assumptions!$B$62,0)</f>
        <v>0</v>
      </c>
      <c r="W68" s="35" t="n">
        <f aca="false">IF(AND('Equipment Analysis'!$F$7="Yes",W$3&gt;='Equipment Analysis'!$F$8),('Equipment Analysis'!$F$38+IF(AND('Equipment Analysis'!$F$19="Lease",W$3&lt;='Equipment Analysis'!$F$8+'Equipment Analysis'!$F$27-1),'Equipment Analysis'!$F$26,0))*Assumptions!$B$62,0)</f>
        <v>0</v>
      </c>
      <c r="X68" s="35" t="n">
        <f aca="false">IF(AND('Equipment Analysis'!$F$7="Yes",X$3&gt;='Equipment Analysis'!$F$8),('Equipment Analysis'!$F$38+IF(AND('Equipment Analysis'!$F$19="Lease",X$3&lt;='Equipment Analysis'!$F$8+'Equipment Analysis'!$F$27-1),'Equipment Analysis'!$F$26,0))*Assumptions!$B$62,0)</f>
        <v>0</v>
      </c>
      <c r="Y68" s="35" t="n">
        <f aca="false">IF(AND('Equipment Analysis'!$F$7="Yes",Y$3&gt;='Equipment Analysis'!$F$8),('Equipment Analysis'!$F$38+IF(AND('Equipment Analysis'!$F$19="Lease",Y$3&lt;='Equipment Analysis'!$F$8+'Equipment Analysis'!$F$27-1),'Equipment Analysis'!$F$26,0))*Assumptions!$B$62,0)</f>
        <v>0</v>
      </c>
      <c r="Z68" s="35" t="n">
        <f aca="false">IF(AND('Equipment Analysis'!$F$7="Yes",Z$3&gt;='Equipment Analysis'!$F$8),('Equipment Analysis'!$F$38+IF(AND('Equipment Analysis'!$F$19="Lease",Z$3&lt;='Equipment Analysis'!$F$8+'Equipment Analysis'!$F$27-1),'Equipment Analysis'!$F$26,0))*Assumptions!$B$62,0)</f>
        <v>0</v>
      </c>
    </row>
    <row r="69" customFormat="false" ht="15" hidden="false" customHeight="false" outlineLevel="0" collapsed="false">
      <c r="A69" s="11" t="s">
        <v>414</v>
      </c>
      <c r="C69" s="35" t="n">
        <f aca="false">IF(AND('Equipment Analysis'!$F$7="Yes",C$3&gt;='Equipment Analysis'!$F$8),'Equipment Analysis'!$F$47/12*MIN(1,(C$3-'Equipment Analysis'!$F$8+1)/MAX(1,'Equipment Analysis'!$F$48))*Assumptions!$B$61,0)</f>
        <v>0</v>
      </c>
      <c r="D69" s="35" t="n">
        <f aca="false">IF(AND('Equipment Analysis'!$F$7="Yes",D$3&gt;='Equipment Analysis'!$F$8),'Equipment Analysis'!$F$47/12*MIN(1,(D$3-'Equipment Analysis'!$F$8+1)/MAX(1,'Equipment Analysis'!$F$48))*Assumptions!$B$61,0)</f>
        <v>0</v>
      </c>
      <c r="E69" s="35" t="n">
        <f aca="false">IF(AND('Equipment Analysis'!$F$7="Yes",E$3&gt;='Equipment Analysis'!$F$8),'Equipment Analysis'!$F$47/12*MIN(1,(E$3-'Equipment Analysis'!$F$8+1)/MAX(1,'Equipment Analysis'!$F$48))*Assumptions!$B$61,0)</f>
        <v>0</v>
      </c>
      <c r="F69" s="35" t="n">
        <f aca="false">IF(AND('Equipment Analysis'!$F$7="Yes",F$3&gt;='Equipment Analysis'!$F$8),'Equipment Analysis'!$F$47/12*MIN(1,(F$3-'Equipment Analysis'!$F$8+1)/MAX(1,'Equipment Analysis'!$F$48))*Assumptions!$B$61,0)</f>
        <v>0</v>
      </c>
      <c r="G69" s="35" t="n">
        <f aca="false">IF(AND('Equipment Analysis'!$F$7="Yes",G$3&gt;='Equipment Analysis'!$F$8),'Equipment Analysis'!$F$47/12*MIN(1,(G$3-'Equipment Analysis'!$F$8+1)/MAX(1,'Equipment Analysis'!$F$48))*Assumptions!$B$61,0)</f>
        <v>0</v>
      </c>
      <c r="H69" s="35" t="n">
        <f aca="false">IF(AND('Equipment Analysis'!$F$7="Yes",H$3&gt;='Equipment Analysis'!$F$8),'Equipment Analysis'!$F$47/12*MIN(1,(H$3-'Equipment Analysis'!$F$8+1)/MAX(1,'Equipment Analysis'!$F$48))*Assumptions!$B$61,0)</f>
        <v>0</v>
      </c>
      <c r="I69" s="35" t="n">
        <f aca="false">IF(AND('Equipment Analysis'!$F$7="Yes",I$3&gt;='Equipment Analysis'!$F$8),'Equipment Analysis'!$F$47/12*MIN(1,(I$3-'Equipment Analysis'!$F$8+1)/MAX(1,'Equipment Analysis'!$F$48))*Assumptions!$B$61,0)</f>
        <v>0</v>
      </c>
      <c r="J69" s="35" t="n">
        <f aca="false">IF(AND('Equipment Analysis'!$F$7="Yes",J$3&gt;='Equipment Analysis'!$F$8),'Equipment Analysis'!$F$47/12*MIN(1,(J$3-'Equipment Analysis'!$F$8+1)/MAX(1,'Equipment Analysis'!$F$48))*Assumptions!$B$61,0)</f>
        <v>0</v>
      </c>
      <c r="K69" s="35" t="n">
        <f aca="false">IF(AND('Equipment Analysis'!$F$7="Yes",K$3&gt;='Equipment Analysis'!$F$8),'Equipment Analysis'!$F$47/12*MIN(1,(K$3-'Equipment Analysis'!$F$8+1)/MAX(1,'Equipment Analysis'!$F$48))*Assumptions!$B$61,0)</f>
        <v>0</v>
      </c>
      <c r="L69" s="35" t="n">
        <f aca="false">IF(AND('Equipment Analysis'!$F$7="Yes",L$3&gt;='Equipment Analysis'!$F$8),'Equipment Analysis'!$F$47/12*MIN(1,(L$3-'Equipment Analysis'!$F$8+1)/MAX(1,'Equipment Analysis'!$F$48))*Assumptions!$B$61,0)</f>
        <v>0</v>
      </c>
      <c r="M69" s="35" t="n">
        <f aca="false">IF(AND('Equipment Analysis'!$F$7="Yes",M$3&gt;='Equipment Analysis'!$F$8),'Equipment Analysis'!$F$47/12*MIN(1,(M$3-'Equipment Analysis'!$F$8+1)/MAX(1,'Equipment Analysis'!$F$48))*Assumptions!$B$61,0)</f>
        <v>0</v>
      </c>
      <c r="N69" s="35" t="n">
        <f aca="false">IF(AND('Equipment Analysis'!$F$7="Yes",N$3&gt;='Equipment Analysis'!$F$8),'Equipment Analysis'!$F$47/12*MIN(1,(N$3-'Equipment Analysis'!$F$8+1)/MAX(1,'Equipment Analysis'!$F$48))*Assumptions!$B$61,0)</f>
        <v>0</v>
      </c>
      <c r="O69" s="35" t="n">
        <f aca="false">IF(AND('Equipment Analysis'!$F$7="Yes",O$3&gt;='Equipment Analysis'!$F$8),'Equipment Analysis'!$F$47/12*MIN(1,(O$3-'Equipment Analysis'!$F$8+1)/MAX(1,'Equipment Analysis'!$F$48))*Assumptions!$B$61,0)</f>
        <v>0</v>
      </c>
      <c r="P69" s="35" t="n">
        <f aca="false">IF(AND('Equipment Analysis'!$F$7="Yes",P$3&gt;='Equipment Analysis'!$F$8),'Equipment Analysis'!$F$47/12*MIN(1,(P$3-'Equipment Analysis'!$F$8+1)/MAX(1,'Equipment Analysis'!$F$48))*Assumptions!$B$61,0)</f>
        <v>0</v>
      </c>
      <c r="Q69" s="35" t="n">
        <f aca="false">IF(AND('Equipment Analysis'!$F$7="Yes",Q$3&gt;='Equipment Analysis'!$F$8),'Equipment Analysis'!$F$47/12*MIN(1,(Q$3-'Equipment Analysis'!$F$8+1)/MAX(1,'Equipment Analysis'!$F$48))*Assumptions!$B$61,0)</f>
        <v>0</v>
      </c>
      <c r="R69" s="35" t="n">
        <f aca="false">IF(AND('Equipment Analysis'!$F$7="Yes",R$3&gt;='Equipment Analysis'!$F$8),'Equipment Analysis'!$F$47/12*MIN(1,(R$3-'Equipment Analysis'!$F$8+1)/MAX(1,'Equipment Analysis'!$F$48))*Assumptions!$B$61,0)</f>
        <v>0</v>
      </c>
      <c r="S69" s="35" t="n">
        <f aca="false">IF(AND('Equipment Analysis'!$F$7="Yes",S$3&gt;='Equipment Analysis'!$F$8),'Equipment Analysis'!$F$47/12*MIN(1,(S$3-'Equipment Analysis'!$F$8+1)/MAX(1,'Equipment Analysis'!$F$48))*Assumptions!$B$61,0)</f>
        <v>0</v>
      </c>
      <c r="T69" s="35" t="n">
        <f aca="false">IF(AND('Equipment Analysis'!$F$7="Yes",T$3&gt;='Equipment Analysis'!$F$8),'Equipment Analysis'!$F$47/12*MIN(1,(T$3-'Equipment Analysis'!$F$8+1)/MAX(1,'Equipment Analysis'!$F$48))*Assumptions!$B$61,0)</f>
        <v>0</v>
      </c>
      <c r="U69" s="35" t="n">
        <f aca="false">IF(AND('Equipment Analysis'!$F$7="Yes",U$3&gt;='Equipment Analysis'!$F$8),'Equipment Analysis'!$F$47/12*MIN(1,(U$3-'Equipment Analysis'!$F$8+1)/MAX(1,'Equipment Analysis'!$F$48))*Assumptions!$B$61,0)</f>
        <v>0</v>
      </c>
      <c r="V69" s="35" t="n">
        <f aca="false">IF(AND('Equipment Analysis'!$F$7="Yes",V$3&gt;='Equipment Analysis'!$F$8),'Equipment Analysis'!$F$47/12*MIN(1,(V$3-'Equipment Analysis'!$F$8+1)/MAX(1,'Equipment Analysis'!$F$48))*Assumptions!$B$61,0)</f>
        <v>0</v>
      </c>
      <c r="W69" s="35" t="n">
        <f aca="false">IF(AND('Equipment Analysis'!$F$7="Yes",W$3&gt;='Equipment Analysis'!$F$8),'Equipment Analysis'!$F$47/12*MIN(1,(W$3-'Equipment Analysis'!$F$8+1)/MAX(1,'Equipment Analysis'!$F$48))*Assumptions!$B$61,0)</f>
        <v>0</v>
      </c>
      <c r="X69" s="35" t="n">
        <f aca="false">IF(AND('Equipment Analysis'!$F$7="Yes",X$3&gt;='Equipment Analysis'!$F$8),'Equipment Analysis'!$F$47/12*MIN(1,(X$3-'Equipment Analysis'!$F$8+1)/MAX(1,'Equipment Analysis'!$F$48))*Assumptions!$B$61,0)</f>
        <v>0</v>
      </c>
      <c r="Y69" s="35" t="n">
        <f aca="false">IF(AND('Equipment Analysis'!$F$7="Yes",Y$3&gt;='Equipment Analysis'!$F$8),'Equipment Analysis'!$F$47/12*MIN(1,(Y$3-'Equipment Analysis'!$F$8+1)/MAX(1,'Equipment Analysis'!$F$48))*Assumptions!$B$61,0)</f>
        <v>0</v>
      </c>
      <c r="Z69" s="35" t="n">
        <f aca="false">IF(AND('Equipment Analysis'!$F$7="Yes",Z$3&gt;='Equipment Analysis'!$F$8),'Equipment Analysis'!$F$47/12*MIN(1,(Z$3-'Equipment Analysis'!$F$8+1)/MAX(1,'Equipment Analysis'!$F$48))*Assumptions!$B$61,0)</f>
        <v>0</v>
      </c>
    </row>
    <row r="70" customFormat="false" ht="15" hidden="false" customHeight="false" outlineLevel="0" collapsed="false">
      <c r="A70" s="11" t="s">
        <v>415</v>
      </c>
      <c r="C70" s="35" t="n">
        <f aca="false">IF(OR('Equipment Analysis'!$F$7&lt;&gt;"Yes",'Equipment Analysis'!$F$51=0,C$3&lt;'Equipment Analysis'!$F$8),0,IF(C$3&lt;='Equipment Analysis'!$F$8+11,'Equipment Analysis'!$F$56/12,'Equipment Analysis'!$F$57/12))</f>
        <v>0</v>
      </c>
      <c r="D70" s="35" t="n">
        <f aca="false">IF(OR('Equipment Analysis'!$F$7&lt;&gt;"Yes",'Equipment Analysis'!$F$51=0,D$3&lt;'Equipment Analysis'!$F$8),0,IF(D$3&lt;='Equipment Analysis'!$F$8+11,'Equipment Analysis'!$F$56/12,'Equipment Analysis'!$F$57/12))</f>
        <v>0</v>
      </c>
      <c r="E70" s="35" t="n">
        <f aca="false">IF(OR('Equipment Analysis'!$F$7&lt;&gt;"Yes",'Equipment Analysis'!$F$51=0,E$3&lt;'Equipment Analysis'!$F$8),0,IF(E$3&lt;='Equipment Analysis'!$F$8+11,'Equipment Analysis'!$F$56/12,'Equipment Analysis'!$F$57/12))</f>
        <v>0</v>
      </c>
      <c r="F70" s="35" t="n">
        <f aca="false">IF(OR('Equipment Analysis'!$F$7&lt;&gt;"Yes",'Equipment Analysis'!$F$51=0,F$3&lt;'Equipment Analysis'!$F$8),0,IF(F$3&lt;='Equipment Analysis'!$F$8+11,'Equipment Analysis'!$F$56/12,'Equipment Analysis'!$F$57/12))</f>
        <v>0</v>
      </c>
      <c r="G70" s="35" t="n">
        <f aca="false">IF(OR('Equipment Analysis'!$F$7&lt;&gt;"Yes",'Equipment Analysis'!$F$51=0,G$3&lt;'Equipment Analysis'!$F$8),0,IF(G$3&lt;='Equipment Analysis'!$F$8+11,'Equipment Analysis'!$F$56/12,'Equipment Analysis'!$F$57/12))</f>
        <v>0</v>
      </c>
      <c r="H70" s="35" t="n">
        <f aca="false">IF(OR('Equipment Analysis'!$F$7&lt;&gt;"Yes",'Equipment Analysis'!$F$51=0,H$3&lt;'Equipment Analysis'!$F$8),0,IF(H$3&lt;='Equipment Analysis'!$F$8+11,'Equipment Analysis'!$F$56/12,'Equipment Analysis'!$F$57/12))</f>
        <v>0</v>
      </c>
      <c r="I70" s="35" t="n">
        <f aca="false">IF(OR('Equipment Analysis'!$F$7&lt;&gt;"Yes",'Equipment Analysis'!$F$51=0,I$3&lt;'Equipment Analysis'!$F$8),0,IF(I$3&lt;='Equipment Analysis'!$F$8+11,'Equipment Analysis'!$F$56/12,'Equipment Analysis'!$F$57/12))</f>
        <v>0</v>
      </c>
      <c r="J70" s="35" t="n">
        <f aca="false">IF(OR('Equipment Analysis'!$F$7&lt;&gt;"Yes",'Equipment Analysis'!$F$51=0,J$3&lt;'Equipment Analysis'!$F$8),0,IF(J$3&lt;='Equipment Analysis'!$F$8+11,'Equipment Analysis'!$F$56/12,'Equipment Analysis'!$F$57/12))</f>
        <v>0</v>
      </c>
      <c r="K70" s="35" t="n">
        <f aca="false">IF(OR('Equipment Analysis'!$F$7&lt;&gt;"Yes",'Equipment Analysis'!$F$51=0,K$3&lt;'Equipment Analysis'!$F$8),0,IF(K$3&lt;='Equipment Analysis'!$F$8+11,'Equipment Analysis'!$F$56/12,'Equipment Analysis'!$F$57/12))</f>
        <v>0</v>
      </c>
      <c r="L70" s="35" t="n">
        <f aca="false">IF(OR('Equipment Analysis'!$F$7&lt;&gt;"Yes",'Equipment Analysis'!$F$51=0,L$3&lt;'Equipment Analysis'!$F$8),0,IF(L$3&lt;='Equipment Analysis'!$F$8+11,'Equipment Analysis'!$F$56/12,'Equipment Analysis'!$F$57/12))</f>
        <v>0</v>
      </c>
      <c r="M70" s="35" t="n">
        <f aca="false">IF(OR('Equipment Analysis'!$F$7&lt;&gt;"Yes",'Equipment Analysis'!$F$51=0,M$3&lt;'Equipment Analysis'!$F$8),0,IF(M$3&lt;='Equipment Analysis'!$F$8+11,'Equipment Analysis'!$F$56/12,'Equipment Analysis'!$F$57/12))</f>
        <v>0</v>
      </c>
      <c r="N70" s="35" t="n">
        <f aca="false">IF(OR('Equipment Analysis'!$F$7&lt;&gt;"Yes",'Equipment Analysis'!$F$51=0,N$3&lt;'Equipment Analysis'!$F$8),0,IF(N$3&lt;='Equipment Analysis'!$F$8+11,'Equipment Analysis'!$F$56/12,'Equipment Analysis'!$F$57/12))</f>
        <v>0</v>
      </c>
      <c r="O70" s="35" t="n">
        <f aca="false">IF(OR('Equipment Analysis'!$F$7&lt;&gt;"Yes",'Equipment Analysis'!$F$51=0,O$3&lt;'Equipment Analysis'!$F$8),0,IF(O$3&lt;='Equipment Analysis'!$F$8+11,'Equipment Analysis'!$F$56/12,'Equipment Analysis'!$F$57/12))</f>
        <v>0</v>
      </c>
      <c r="P70" s="35" t="n">
        <f aca="false">IF(OR('Equipment Analysis'!$F$7&lt;&gt;"Yes",'Equipment Analysis'!$F$51=0,P$3&lt;'Equipment Analysis'!$F$8),0,IF(P$3&lt;='Equipment Analysis'!$F$8+11,'Equipment Analysis'!$F$56/12,'Equipment Analysis'!$F$57/12))</f>
        <v>0</v>
      </c>
      <c r="Q70" s="35" t="n">
        <f aca="false">IF(OR('Equipment Analysis'!$F$7&lt;&gt;"Yes",'Equipment Analysis'!$F$51=0,Q$3&lt;'Equipment Analysis'!$F$8),0,IF(Q$3&lt;='Equipment Analysis'!$F$8+11,'Equipment Analysis'!$F$56/12,'Equipment Analysis'!$F$57/12))</f>
        <v>0</v>
      </c>
      <c r="R70" s="35" t="n">
        <f aca="false">IF(OR('Equipment Analysis'!$F$7&lt;&gt;"Yes",'Equipment Analysis'!$F$51=0,R$3&lt;'Equipment Analysis'!$F$8),0,IF(R$3&lt;='Equipment Analysis'!$F$8+11,'Equipment Analysis'!$F$56/12,'Equipment Analysis'!$F$57/12))</f>
        <v>0</v>
      </c>
      <c r="S70" s="35" t="n">
        <f aca="false">IF(OR('Equipment Analysis'!$F$7&lt;&gt;"Yes",'Equipment Analysis'!$F$51=0,S$3&lt;'Equipment Analysis'!$F$8),0,IF(S$3&lt;='Equipment Analysis'!$F$8+11,'Equipment Analysis'!$F$56/12,'Equipment Analysis'!$F$57/12))</f>
        <v>0</v>
      </c>
      <c r="T70" s="35" t="n">
        <f aca="false">IF(OR('Equipment Analysis'!$F$7&lt;&gt;"Yes",'Equipment Analysis'!$F$51=0,T$3&lt;'Equipment Analysis'!$F$8),0,IF(T$3&lt;='Equipment Analysis'!$F$8+11,'Equipment Analysis'!$F$56/12,'Equipment Analysis'!$F$57/12))</f>
        <v>0</v>
      </c>
      <c r="U70" s="35" t="n">
        <f aca="false">IF(OR('Equipment Analysis'!$F$7&lt;&gt;"Yes",'Equipment Analysis'!$F$51=0,U$3&lt;'Equipment Analysis'!$F$8),0,IF(U$3&lt;='Equipment Analysis'!$F$8+11,'Equipment Analysis'!$F$56/12,'Equipment Analysis'!$F$57/12))</f>
        <v>0</v>
      </c>
      <c r="V70" s="35" t="n">
        <f aca="false">IF(OR('Equipment Analysis'!$F$7&lt;&gt;"Yes",'Equipment Analysis'!$F$51=0,V$3&lt;'Equipment Analysis'!$F$8),0,IF(V$3&lt;='Equipment Analysis'!$F$8+11,'Equipment Analysis'!$F$56/12,'Equipment Analysis'!$F$57/12))</f>
        <v>0</v>
      </c>
      <c r="W70" s="35" t="n">
        <f aca="false">IF(OR('Equipment Analysis'!$F$7&lt;&gt;"Yes",'Equipment Analysis'!$F$51=0,W$3&lt;'Equipment Analysis'!$F$8),0,IF(W$3&lt;='Equipment Analysis'!$F$8+11,'Equipment Analysis'!$F$56/12,'Equipment Analysis'!$F$57/12))</f>
        <v>0</v>
      </c>
      <c r="X70" s="35" t="n">
        <f aca="false">IF(OR('Equipment Analysis'!$F$7&lt;&gt;"Yes",'Equipment Analysis'!$F$51=0,X$3&lt;'Equipment Analysis'!$F$8),0,IF(X$3&lt;='Equipment Analysis'!$F$8+11,'Equipment Analysis'!$F$56/12,'Equipment Analysis'!$F$57/12))</f>
        <v>0</v>
      </c>
      <c r="Y70" s="35" t="n">
        <f aca="false">IF(OR('Equipment Analysis'!$F$7&lt;&gt;"Yes",'Equipment Analysis'!$F$51=0,Y$3&lt;'Equipment Analysis'!$F$8),0,IF(Y$3&lt;='Equipment Analysis'!$F$8+11,'Equipment Analysis'!$F$56/12,'Equipment Analysis'!$F$57/12))</f>
        <v>0</v>
      </c>
      <c r="Z70" s="35" t="n">
        <f aca="false">IF(OR('Equipment Analysis'!$F$7&lt;&gt;"Yes",'Equipment Analysis'!$F$51=0,Z$3&lt;'Equipment Analysis'!$F$8),0,IF(Z$3&lt;='Equipment Analysis'!$F$8+11,'Equipment Analysis'!$F$56/12,'Equipment Analysis'!$F$57/12))</f>
        <v>0</v>
      </c>
    </row>
    <row r="71" customFormat="false" ht="15" hidden="false" customHeight="false" outlineLevel="0" collapsed="false">
      <c r="A71" s="36" t="s">
        <v>416</v>
      </c>
      <c r="C71" s="37" t="n">
        <f aca="false">C69-C68-C63-C64</f>
        <v>0</v>
      </c>
      <c r="D71" s="37" t="n">
        <f aca="false">D69-D68-D63-D64</f>
        <v>0</v>
      </c>
      <c r="E71" s="37" t="n">
        <f aca="false">E69-E68-E63-E64</f>
        <v>0</v>
      </c>
      <c r="F71" s="37" t="n">
        <f aca="false">F69-F68-F63-F64</f>
        <v>0</v>
      </c>
      <c r="G71" s="37" t="n">
        <f aca="false">G69-G68-G63-G64</f>
        <v>0</v>
      </c>
      <c r="H71" s="37" t="n">
        <f aca="false">H69-H68-H63-H64</f>
        <v>0</v>
      </c>
      <c r="I71" s="37" t="n">
        <f aca="false">I69-I68-I63-I64</f>
        <v>0</v>
      </c>
      <c r="J71" s="37" t="n">
        <f aca="false">J69-J68-J63-J64</f>
        <v>0</v>
      </c>
      <c r="K71" s="37" t="n">
        <f aca="false">K69-K68-K63-K64</f>
        <v>0</v>
      </c>
      <c r="L71" s="37" t="n">
        <f aca="false">L69-L68-L63-L64</f>
        <v>0</v>
      </c>
      <c r="M71" s="37" t="n">
        <f aca="false">M69-M68-M63-M64</f>
        <v>0</v>
      </c>
      <c r="N71" s="37" t="n">
        <f aca="false">N69-N68-N63-N64</f>
        <v>0</v>
      </c>
      <c r="O71" s="37" t="n">
        <f aca="false">O69-O68-O63-O64</f>
        <v>0</v>
      </c>
      <c r="P71" s="37" t="n">
        <f aca="false">P69-P68-P63-P64</f>
        <v>0</v>
      </c>
      <c r="Q71" s="37" t="n">
        <f aca="false">Q69-Q68-Q63-Q64</f>
        <v>0</v>
      </c>
      <c r="R71" s="37" t="n">
        <f aca="false">R69-R68-R63-R64</f>
        <v>0</v>
      </c>
      <c r="S71" s="37" t="n">
        <f aca="false">S69-S68-S63-S64</f>
        <v>0</v>
      </c>
      <c r="T71" s="37" t="n">
        <f aca="false">T69-T68-T63-T64</f>
        <v>0</v>
      </c>
      <c r="U71" s="37" t="n">
        <f aca="false">U69-U68-U63-U64</f>
        <v>0</v>
      </c>
      <c r="V71" s="37" t="n">
        <f aca="false">V69-V68-V63-V64</f>
        <v>0</v>
      </c>
      <c r="W71" s="37" t="n">
        <f aca="false">W69-W68-W63-W64</f>
        <v>0</v>
      </c>
      <c r="X71" s="37" t="n">
        <f aca="false">X69-X68-X63-X64</f>
        <v>0</v>
      </c>
      <c r="Y71" s="37" t="n">
        <f aca="false">Y69-Y68-Y63-Y64</f>
        <v>0</v>
      </c>
      <c r="Z71" s="37" t="n">
        <f aca="false">Z69-Z68-Z63-Z64</f>
        <v>0</v>
      </c>
    </row>
    <row r="72" customFormat="false" ht="15" hidden="false" customHeight="false" outlineLevel="0" collapsed="false">
      <c r="A72" s="6" t="s">
        <v>417</v>
      </c>
      <c r="C72" s="37" t="n">
        <f aca="false">C36+C45+C54+C63</f>
        <v>0</v>
      </c>
      <c r="D72" s="37" t="n">
        <f aca="false">D36+D45+D54+D63</f>
        <v>0</v>
      </c>
      <c r="E72" s="37" t="n">
        <f aca="false">E36+E45+E54+E63</f>
        <v>42304</v>
      </c>
      <c r="F72" s="37" t="n">
        <f aca="false">F36+F45+F54+F63</f>
        <v>0</v>
      </c>
      <c r="G72" s="37" t="n">
        <f aca="false">G36+G45+G54+G63</f>
        <v>0</v>
      </c>
      <c r="H72" s="37" t="n">
        <f aca="false">H36+H45+H54+H63</f>
        <v>0</v>
      </c>
      <c r="I72" s="37" t="n">
        <f aca="false">I36+I45+I54+I63</f>
        <v>0</v>
      </c>
      <c r="J72" s="37" t="n">
        <f aca="false">J36+J45+J54+J63</f>
        <v>0</v>
      </c>
      <c r="K72" s="37" t="n">
        <f aca="false">K36+K45+K54+K63</f>
        <v>0</v>
      </c>
      <c r="L72" s="37" t="n">
        <f aca="false">L36+L45+L54+L63</f>
        <v>0</v>
      </c>
      <c r="M72" s="37" t="n">
        <f aca="false">M36+M45+M54+M63</f>
        <v>0</v>
      </c>
      <c r="N72" s="37" t="n">
        <f aca="false">N36+N45+N54+N63</f>
        <v>0</v>
      </c>
      <c r="O72" s="37" t="n">
        <f aca="false">O36+O45+O54+O63</f>
        <v>0</v>
      </c>
      <c r="P72" s="37" t="n">
        <f aca="false">P36+P45+P54+P63</f>
        <v>0</v>
      </c>
      <c r="Q72" s="37" t="n">
        <f aca="false">Q36+Q45+Q54+Q63</f>
        <v>0</v>
      </c>
      <c r="R72" s="37" t="n">
        <f aca="false">R36+R45+R54+R63</f>
        <v>0</v>
      </c>
      <c r="S72" s="37" t="n">
        <f aca="false">S36+S45+S54+S63</f>
        <v>0</v>
      </c>
      <c r="T72" s="37" t="n">
        <f aca="false">T36+T45+T54+T63</f>
        <v>0</v>
      </c>
      <c r="U72" s="37" t="n">
        <f aca="false">U36+U45+U54+U63</f>
        <v>0</v>
      </c>
      <c r="V72" s="37" t="n">
        <f aca="false">V36+V45+V54+V63</f>
        <v>0</v>
      </c>
      <c r="W72" s="37" t="n">
        <f aca="false">W36+W45+W54+W63</f>
        <v>0</v>
      </c>
      <c r="X72" s="37" t="n">
        <f aca="false">X36+X45+X54+X63</f>
        <v>0</v>
      </c>
      <c r="Y72" s="37" t="n">
        <f aca="false">Y36+Y45+Y54+Y63</f>
        <v>0</v>
      </c>
      <c r="Z72" s="37" t="n">
        <f aca="false">Z36+Z45+Z54+Z63</f>
        <v>0</v>
      </c>
    </row>
    <row r="73" customFormat="false" ht="15" hidden="false" customHeight="false" outlineLevel="0" collapsed="false">
      <c r="A73" s="6" t="s">
        <v>418</v>
      </c>
      <c r="C73" s="37" t="n">
        <f aca="false">C37+C46+C55+C64</f>
        <v>0</v>
      </c>
      <c r="D73" s="37" t="n">
        <f aca="false">D37+D46+D55+D64</f>
        <v>0</v>
      </c>
      <c r="E73" s="37" t="n">
        <f aca="false">E37+E46+E55+E64</f>
        <v>169216</v>
      </c>
      <c r="F73" s="37" t="n">
        <f aca="false">F37+F46+F55+F64</f>
        <v>0</v>
      </c>
      <c r="G73" s="37" t="n">
        <f aca="false">G37+G46+G55+G64</f>
        <v>0</v>
      </c>
      <c r="H73" s="37" t="n">
        <f aca="false">H37+H46+H55+H64</f>
        <v>0</v>
      </c>
      <c r="I73" s="37" t="n">
        <f aca="false">I37+I46+I55+I64</f>
        <v>0</v>
      </c>
      <c r="J73" s="37" t="n">
        <f aca="false">J37+J46+J55+J64</f>
        <v>0</v>
      </c>
      <c r="K73" s="37" t="n">
        <f aca="false">K37+K46+K55+K64</f>
        <v>0</v>
      </c>
      <c r="L73" s="37" t="n">
        <f aca="false">L37+L46+L55+L64</f>
        <v>0</v>
      </c>
      <c r="M73" s="37" t="n">
        <f aca="false">M37+M46+M55+M64</f>
        <v>0</v>
      </c>
      <c r="N73" s="37" t="n">
        <f aca="false">N37+N46+N55+N64</f>
        <v>0</v>
      </c>
      <c r="O73" s="37" t="n">
        <f aca="false">O37+O46+O55+O64</f>
        <v>0</v>
      </c>
      <c r="P73" s="37" t="n">
        <f aca="false">P37+P46+P55+P64</f>
        <v>0</v>
      </c>
      <c r="Q73" s="37" t="n">
        <f aca="false">Q37+Q46+Q55+Q64</f>
        <v>0</v>
      </c>
      <c r="R73" s="37" t="n">
        <f aca="false">R37+R46+R55+R64</f>
        <v>0</v>
      </c>
      <c r="S73" s="37" t="n">
        <f aca="false">S37+S46+S55+S64</f>
        <v>0</v>
      </c>
      <c r="T73" s="37" t="n">
        <f aca="false">T37+T46+T55+T64</f>
        <v>0</v>
      </c>
      <c r="U73" s="37" t="n">
        <f aca="false">U37+U46+U55+U64</f>
        <v>0</v>
      </c>
      <c r="V73" s="37" t="n">
        <f aca="false">V37+V46+V55+V64</f>
        <v>0</v>
      </c>
      <c r="W73" s="37" t="n">
        <f aca="false">W37+W46+W55+W64</f>
        <v>0</v>
      </c>
      <c r="X73" s="37" t="n">
        <f aca="false">X37+X46+X55+X64</f>
        <v>0</v>
      </c>
      <c r="Y73" s="37" t="n">
        <f aca="false">Y37+Y46+Y55+Y64</f>
        <v>0</v>
      </c>
      <c r="Z73" s="37" t="n">
        <f aca="false">Z37+Z46+Z55+Z64</f>
        <v>0</v>
      </c>
    </row>
    <row r="74" customFormat="false" ht="15" hidden="false" customHeight="false" outlineLevel="0" collapsed="false">
      <c r="A74" s="6" t="s">
        <v>419</v>
      </c>
      <c r="C74" s="37" t="n">
        <f aca="false">C38+C47+C56+C65</f>
        <v>0</v>
      </c>
      <c r="D74" s="37" t="n">
        <f aca="false">D38+D47+D56+D65</f>
        <v>0</v>
      </c>
      <c r="E74" s="37" t="n">
        <f aca="false">E38+E47+E56+E65</f>
        <v>3471.7253650383</v>
      </c>
      <c r="F74" s="37" t="n">
        <f aca="false">F38+F47+F56+F65</f>
        <v>3471.7253650383</v>
      </c>
      <c r="G74" s="37" t="n">
        <f aca="false">G38+G47+G56+G65</f>
        <v>3471.7253650383</v>
      </c>
      <c r="H74" s="37" t="n">
        <f aca="false">H38+H47+H56+H65</f>
        <v>3471.7253650383</v>
      </c>
      <c r="I74" s="37" t="n">
        <f aca="false">I38+I47+I56+I65</f>
        <v>3471.7253650383</v>
      </c>
      <c r="J74" s="37" t="n">
        <f aca="false">J38+J47+J56+J65</f>
        <v>3471.7253650383</v>
      </c>
      <c r="K74" s="37" t="n">
        <f aca="false">K38+K47+K56+K65</f>
        <v>3471.7253650383</v>
      </c>
      <c r="L74" s="37" t="n">
        <f aca="false">L38+L47+L56+L65</f>
        <v>3471.7253650383</v>
      </c>
      <c r="M74" s="37" t="n">
        <f aca="false">M38+M47+M56+M65</f>
        <v>3471.7253650383</v>
      </c>
      <c r="N74" s="37" t="n">
        <f aca="false">N38+N47+N56+N65</f>
        <v>3471.7253650383</v>
      </c>
      <c r="O74" s="37" t="n">
        <f aca="false">O38+O47+O56+O65</f>
        <v>3471.7253650383</v>
      </c>
      <c r="P74" s="37" t="n">
        <f aca="false">P38+P47+P56+P65</f>
        <v>3471.7253650383</v>
      </c>
      <c r="Q74" s="37" t="n">
        <f aca="false">Q38+Q47+Q56+Q65</f>
        <v>3471.7253650383</v>
      </c>
      <c r="R74" s="37" t="n">
        <f aca="false">R38+R47+R56+R65</f>
        <v>3471.7253650383</v>
      </c>
      <c r="S74" s="37" t="n">
        <f aca="false">S38+S47+S56+S65</f>
        <v>3471.7253650383</v>
      </c>
      <c r="T74" s="37" t="n">
        <f aca="false">T38+T47+T56+T65</f>
        <v>3471.7253650383</v>
      </c>
      <c r="U74" s="37" t="n">
        <f aca="false">U38+U47+U56+U65</f>
        <v>3471.7253650383</v>
      </c>
      <c r="V74" s="37" t="n">
        <f aca="false">V38+V47+V56+V65</f>
        <v>3471.7253650383</v>
      </c>
      <c r="W74" s="37" t="n">
        <f aca="false">W38+W47+W56+W65</f>
        <v>3471.7253650383</v>
      </c>
      <c r="X74" s="37" t="n">
        <f aca="false">X38+X47+X56+X65</f>
        <v>3471.7253650383</v>
      </c>
      <c r="Y74" s="37" t="n">
        <f aca="false">Y38+Y47+Y56+Y65</f>
        <v>3471.7253650383</v>
      </c>
      <c r="Z74" s="37" t="n">
        <f aca="false">Z38+Z47+Z56+Z65</f>
        <v>3471.7253650383</v>
      </c>
    </row>
    <row r="75" customFormat="false" ht="15" hidden="false" customHeight="false" outlineLevel="0" collapsed="false">
      <c r="A75" s="6" t="s">
        <v>420</v>
      </c>
      <c r="C75" s="37" t="n">
        <f aca="false">C39+C48+C57+C66</f>
        <v>0</v>
      </c>
      <c r="D75" s="37" t="n">
        <f aca="false">D39+D48+D57+D66</f>
        <v>0</v>
      </c>
      <c r="E75" s="37" t="n">
        <f aca="false">E39+E48+E57+E66</f>
        <v>1198.61333333333</v>
      </c>
      <c r="F75" s="37" t="n">
        <f aca="false">F39+F48+F57+F66</f>
        <v>1182.51212310876</v>
      </c>
      <c r="G75" s="37" t="n">
        <f aca="false">G39+G48+G57+G66</f>
        <v>1166.29686264509</v>
      </c>
      <c r="H75" s="37" t="n">
        <f aca="false">H39+H48+H57+H66</f>
        <v>1149.96674408647</v>
      </c>
      <c r="I75" s="37" t="n">
        <f aca="false">I39+I48+I57+I66</f>
        <v>1133.52095385473</v>
      </c>
      <c r="J75" s="37" t="n">
        <f aca="false">J39+J48+J57+J66</f>
        <v>1116.95867260884</v>
      </c>
      <c r="K75" s="37" t="n">
        <f aca="false">K39+K48+K57+K66</f>
        <v>1100.27907520414</v>
      </c>
      <c r="L75" s="37" t="n">
        <f aca="false">L39+L48+L57+L66</f>
        <v>1083.48133065114</v>
      </c>
      <c r="M75" s="37" t="n">
        <f aca="false">M39+M48+M57+M66</f>
        <v>1066.56460207424</v>
      </c>
      <c r="N75" s="37" t="n">
        <f aca="false">N39+N48+N57+N66</f>
        <v>1049.52804666991</v>
      </c>
      <c r="O75" s="37" t="n">
        <f aca="false">O39+O48+O57+O66</f>
        <v>1032.3708156648</v>
      </c>
      <c r="P75" s="37" t="n">
        <f aca="false">P39+P48+P57+P66</f>
        <v>1015.0920542734</v>
      </c>
      <c r="Q75" s="37" t="n">
        <f aca="false">Q39+Q48+Q57+Q66</f>
        <v>997.690901655483</v>
      </c>
      <c r="R75" s="37" t="n">
        <f aca="false">R39+R48+R57+R66</f>
        <v>980.166490873188</v>
      </c>
      <c r="S75" s="37" t="n">
        <f aca="false">S39+S48+S57+S66</f>
        <v>962.517948847852</v>
      </c>
      <c r="T75" s="37" t="n">
        <f aca="false">T39+T48+T57+T66</f>
        <v>944.744396316503</v>
      </c>
      <c r="U75" s="37" t="n">
        <f aca="false">U39+U48+U57+U66</f>
        <v>926.844947788057</v>
      </c>
      <c r="V75" s="37" t="n">
        <f aca="false">V39+V48+V57+V66</f>
        <v>908.818711499201</v>
      </c>
      <c r="W75" s="37" t="n">
        <f aca="false">W39+W48+W57+W66</f>
        <v>890.664789369965</v>
      </c>
      <c r="X75" s="37" t="n">
        <f aca="false">X39+X48+X57+X66</f>
        <v>872.382276958981</v>
      </c>
      <c r="Y75" s="37" t="n">
        <f aca="false">Y39+Y48+Y57+Y66</f>
        <v>853.970263418419</v>
      </c>
      <c r="Z75" s="37" t="n">
        <f aca="false">Z39+Z48+Z57+Z66</f>
        <v>835.427831448612</v>
      </c>
    </row>
    <row r="76" customFormat="false" ht="15" hidden="false" customHeight="false" outlineLevel="0" collapsed="false">
      <c r="A76" s="6" t="s">
        <v>421</v>
      </c>
      <c r="C76" s="37" t="n">
        <f aca="false">C40+C49+C58+C67</f>
        <v>0</v>
      </c>
      <c r="D76" s="37" t="n">
        <f aca="false">D40+D49+D58+D67</f>
        <v>0</v>
      </c>
      <c r="E76" s="37" t="n">
        <f aca="false">E40+E49+E58+E67</f>
        <v>2273.11203170497</v>
      </c>
      <c r="F76" s="37" t="n">
        <f aca="false">F40+F49+F58+F67</f>
        <v>2289.21324192955</v>
      </c>
      <c r="G76" s="37" t="n">
        <f aca="false">G40+G49+G58+G67</f>
        <v>2305.42850239322</v>
      </c>
      <c r="H76" s="37" t="n">
        <f aca="false">H40+H49+H58+H67</f>
        <v>2321.75862095183</v>
      </c>
      <c r="I76" s="37" t="n">
        <f aca="false">I40+I49+I58+I67</f>
        <v>2338.20441118358</v>
      </c>
      <c r="J76" s="37" t="n">
        <f aca="false">J40+J49+J58+J67</f>
        <v>2354.76669242946</v>
      </c>
      <c r="K76" s="37" t="n">
        <f aca="false">K40+K49+K58+K67</f>
        <v>2371.44628983417</v>
      </c>
      <c r="L76" s="37" t="n">
        <f aca="false">L40+L49+L58+L67</f>
        <v>2388.24403438716</v>
      </c>
      <c r="M76" s="37" t="n">
        <f aca="false">M40+M49+M58+M67</f>
        <v>2405.16076296407</v>
      </c>
      <c r="N76" s="37" t="n">
        <f aca="false">N40+N49+N58+N67</f>
        <v>2422.1973183684</v>
      </c>
      <c r="O76" s="37" t="n">
        <f aca="false">O40+O49+O58+O67</f>
        <v>2439.35454937351</v>
      </c>
      <c r="P76" s="37" t="n">
        <f aca="false">P40+P49+P58+P67</f>
        <v>2456.6333107649</v>
      </c>
      <c r="Q76" s="37" t="n">
        <f aca="false">Q40+Q49+Q58+Q67</f>
        <v>2474.03446338282</v>
      </c>
      <c r="R76" s="37" t="n">
        <f aca="false">R40+R49+R58+R67</f>
        <v>2491.55887416512</v>
      </c>
      <c r="S76" s="37" t="n">
        <f aca="false">S40+S49+S58+S67</f>
        <v>2509.20741619045</v>
      </c>
      <c r="T76" s="37" t="n">
        <f aca="false">T40+T49+T58+T67</f>
        <v>2526.9809687218</v>
      </c>
      <c r="U76" s="37" t="n">
        <f aca="false">U40+U49+U58+U67</f>
        <v>2544.88041725025</v>
      </c>
      <c r="V76" s="37" t="n">
        <f aca="false">V40+V49+V58+V67</f>
        <v>2562.9066535391</v>
      </c>
      <c r="W76" s="37" t="n">
        <f aca="false">W40+W49+W58+W67</f>
        <v>2581.06057566834</v>
      </c>
      <c r="X76" s="37" t="n">
        <f aca="false">X40+X49+X58+X67</f>
        <v>2599.34308807932</v>
      </c>
      <c r="Y76" s="37" t="n">
        <f aca="false">Y40+Y49+Y58+Y67</f>
        <v>2617.75510161989</v>
      </c>
      <c r="Z76" s="37" t="n">
        <f aca="false">Z40+Z49+Z58+Z67</f>
        <v>2636.29753358969</v>
      </c>
    </row>
    <row r="77" customFormat="false" ht="15" hidden="false" customHeight="false" outlineLevel="0" collapsed="false">
      <c r="A77" s="6" t="s">
        <v>422</v>
      </c>
      <c r="C77" s="37" t="n">
        <f aca="false">C41+C50+C59+C68</f>
        <v>0</v>
      </c>
      <c r="D77" s="37" t="n">
        <f aca="false">D41+D50+D59+D68</f>
        <v>0</v>
      </c>
      <c r="E77" s="37" t="n">
        <f aca="false">E41+E50+E59+E68</f>
        <v>1450</v>
      </c>
      <c r="F77" s="37" t="n">
        <f aca="false">F41+F50+F59+F68</f>
        <v>1450</v>
      </c>
      <c r="G77" s="37" t="n">
        <f aca="false">G41+G50+G59+G68</f>
        <v>1450</v>
      </c>
      <c r="H77" s="37" t="n">
        <f aca="false">H41+H50+H59+H68</f>
        <v>1450</v>
      </c>
      <c r="I77" s="37" t="n">
        <f aca="false">I41+I50+I59+I68</f>
        <v>1450</v>
      </c>
      <c r="J77" s="37" t="n">
        <f aca="false">J41+J50+J59+J68</f>
        <v>1450</v>
      </c>
      <c r="K77" s="37" t="n">
        <f aca="false">K41+K50+K59+K68</f>
        <v>1450</v>
      </c>
      <c r="L77" s="37" t="n">
        <f aca="false">L41+L50+L59+L68</f>
        <v>1450</v>
      </c>
      <c r="M77" s="37" t="n">
        <f aca="false">M41+M50+M59+M68</f>
        <v>1450</v>
      </c>
      <c r="N77" s="37" t="n">
        <f aca="false">N41+N50+N59+N68</f>
        <v>1450</v>
      </c>
      <c r="O77" s="37" t="n">
        <f aca="false">O41+O50+O59+O68</f>
        <v>1450</v>
      </c>
      <c r="P77" s="37" t="n">
        <f aca="false">P41+P50+P59+P68</f>
        <v>1450</v>
      </c>
      <c r="Q77" s="37" t="n">
        <f aca="false">Q41+Q50+Q59+Q68</f>
        <v>1450</v>
      </c>
      <c r="R77" s="37" t="n">
        <f aca="false">R41+R50+R59+R68</f>
        <v>1450</v>
      </c>
      <c r="S77" s="37" t="n">
        <f aca="false">S41+S50+S59+S68</f>
        <v>1450</v>
      </c>
      <c r="T77" s="37" t="n">
        <f aca="false">T41+T50+T59+T68</f>
        <v>1450</v>
      </c>
      <c r="U77" s="37" t="n">
        <f aca="false">U41+U50+U59+U68</f>
        <v>1450</v>
      </c>
      <c r="V77" s="37" t="n">
        <f aca="false">V41+V50+V59+V68</f>
        <v>1450</v>
      </c>
      <c r="W77" s="37" t="n">
        <f aca="false">W41+W50+W59+W68</f>
        <v>1450</v>
      </c>
      <c r="X77" s="37" t="n">
        <f aca="false">X41+X50+X59+X68</f>
        <v>1450</v>
      </c>
      <c r="Y77" s="37" t="n">
        <f aca="false">Y41+Y50+Y59+Y68</f>
        <v>1450</v>
      </c>
      <c r="Z77" s="37" t="n">
        <f aca="false">Z41+Z50+Z59+Z68</f>
        <v>1450</v>
      </c>
    </row>
    <row r="78" customFormat="false" ht="15" hidden="false" customHeight="false" outlineLevel="0" collapsed="false">
      <c r="A78" s="6" t="s">
        <v>423</v>
      </c>
      <c r="C78" s="37" t="n">
        <f aca="false">C42+C51+C60+C69</f>
        <v>0</v>
      </c>
      <c r="D78" s="37" t="n">
        <f aca="false">D42+D51+D60+D69</f>
        <v>0</v>
      </c>
      <c r="E78" s="37" t="n">
        <f aca="false">E42+E51+E60+E69</f>
        <v>3250</v>
      </c>
      <c r="F78" s="37" t="n">
        <f aca="false">F42+F51+F60+F69</f>
        <v>6500</v>
      </c>
      <c r="G78" s="37" t="n">
        <f aca="false">G42+G51+G60+G69</f>
        <v>9750</v>
      </c>
      <c r="H78" s="37" t="n">
        <f aca="false">H42+H51+H60+H69</f>
        <v>13000</v>
      </c>
      <c r="I78" s="37" t="n">
        <f aca="false">I42+I51+I60+I69</f>
        <v>13000</v>
      </c>
      <c r="J78" s="37" t="n">
        <f aca="false">J42+J51+J60+J69</f>
        <v>13000</v>
      </c>
      <c r="K78" s="37" t="n">
        <f aca="false">K42+K51+K60+K69</f>
        <v>13000</v>
      </c>
      <c r="L78" s="37" t="n">
        <f aca="false">L42+L51+L60+L69</f>
        <v>13000</v>
      </c>
      <c r="M78" s="37" t="n">
        <f aca="false">M42+M51+M60+M69</f>
        <v>13000</v>
      </c>
      <c r="N78" s="37" t="n">
        <f aca="false">N42+N51+N60+N69</f>
        <v>13000</v>
      </c>
      <c r="O78" s="37" t="n">
        <f aca="false">O42+O51+O60+O69</f>
        <v>13000</v>
      </c>
      <c r="P78" s="37" t="n">
        <f aca="false">P42+P51+P60+P69</f>
        <v>13000</v>
      </c>
      <c r="Q78" s="37" t="n">
        <f aca="false">Q42+Q51+Q60+Q69</f>
        <v>13000</v>
      </c>
      <c r="R78" s="37" t="n">
        <f aca="false">R42+R51+R60+R69</f>
        <v>13000</v>
      </c>
      <c r="S78" s="37" t="n">
        <f aca="false">S42+S51+S60+S69</f>
        <v>13000</v>
      </c>
      <c r="T78" s="37" t="n">
        <f aca="false">T42+T51+T60+T69</f>
        <v>13000</v>
      </c>
      <c r="U78" s="37" t="n">
        <f aca="false">U42+U51+U60+U69</f>
        <v>13000</v>
      </c>
      <c r="V78" s="37" t="n">
        <f aca="false">V42+V51+V60+V69</f>
        <v>13000</v>
      </c>
      <c r="W78" s="37" t="n">
        <f aca="false">W42+W51+W60+W69</f>
        <v>13000</v>
      </c>
      <c r="X78" s="37" t="n">
        <f aca="false">X42+X51+X60+X69</f>
        <v>13000</v>
      </c>
      <c r="Y78" s="37" t="n">
        <f aca="false">Y42+Y51+Y60+Y69</f>
        <v>13000</v>
      </c>
      <c r="Z78" s="37" t="n">
        <f aca="false">Z42+Z51+Z60+Z69</f>
        <v>13000</v>
      </c>
    </row>
    <row r="79" customFormat="false" ht="15" hidden="false" customHeight="false" outlineLevel="0" collapsed="false">
      <c r="A79" s="6" t="s">
        <v>424</v>
      </c>
      <c r="C79" s="37" t="n">
        <f aca="false">C43+C52+C61+C70</f>
        <v>0</v>
      </c>
      <c r="D79" s="37" t="n">
        <f aca="false">D43+D52+D61+D70</f>
        <v>0</v>
      </c>
      <c r="E79" s="37" t="n">
        <f aca="false">E43+E52+E61+E70</f>
        <v>17626.6666666667</v>
      </c>
      <c r="F79" s="37" t="n">
        <f aca="false">F43+F52+F61+F70</f>
        <v>17626.6666666667</v>
      </c>
      <c r="G79" s="37" t="n">
        <f aca="false">G43+G52+G61+G70</f>
        <v>17626.6666666667</v>
      </c>
      <c r="H79" s="37" t="n">
        <f aca="false">H43+H52+H61+H70</f>
        <v>17626.6666666667</v>
      </c>
      <c r="I79" s="37" t="n">
        <f aca="false">I43+I52+I61+I70</f>
        <v>17626.6666666667</v>
      </c>
      <c r="J79" s="37" t="n">
        <f aca="false">J43+J52+J61+J70</f>
        <v>17626.6666666667</v>
      </c>
      <c r="K79" s="37" t="n">
        <f aca="false">K43+K52+K61+K70</f>
        <v>17626.6666666667</v>
      </c>
      <c r="L79" s="37" t="n">
        <f aca="false">L43+L52+L61+L70</f>
        <v>17626.6666666667</v>
      </c>
      <c r="M79" s="37" t="n">
        <f aca="false">M43+M52+M61+M70</f>
        <v>17626.6666666667</v>
      </c>
      <c r="N79" s="37" t="n">
        <f aca="false">N43+N52+N61+N70</f>
        <v>17626.6666666667</v>
      </c>
      <c r="O79" s="37" t="n">
        <f aca="false">O43+O52+O61+O70</f>
        <v>17626.6666666667</v>
      </c>
      <c r="P79" s="37" t="n">
        <f aca="false">P43+P52+P61+P70</f>
        <v>17626.6666666667</v>
      </c>
      <c r="Q79" s="37" t="n">
        <f aca="false">Q43+Q52+Q61+Q70</f>
        <v>0</v>
      </c>
      <c r="R79" s="37" t="n">
        <f aca="false">R43+R52+R61+R70</f>
        <v>0</v>
      </c>
      <c r="S79" s="37" t="n">
        <f aca="false">S43+S52+S61+S70</f>
        <v>0</v>
      </c>
      <c r="T79" s="37" t="n">
        <f aca="false">T43+T52+T61+T70</f>
        <v>0</v>
      </c>
      <c r="U79" s="37" t="n">
        <f aca="false">U43+U52+U61+U70</f>
        <v>0</v>
      </c>
      <c r="V79" s="37" t="n">
        <f aca="false">V43+V52+V61+V70</f>
        <v>0</v>
      </c>
      <c r="W79" s="37" t="n">
        <f aca="false">W43+W52+W61+W70</f>
        <v>0</v>
      </c>
      <c r="X79" s="37" t="n">
        <f aca="false">X43+X52+X61+X70</f>
        <v>0</v>
      </c>
      <c r="Y79" s="37" t="n">
        <f aca="false">Y43+Y52+Y61+Y70</f>
        <v>0</v>
      </c>
      <c r="Z79" s="37" t="n">
        <f aca="false">Z43+Z52+Z61+Z70</f>
        <v>0</v>
      </c>
    </row>
    <row r="80" customFormat="false" ht="15" hidden="false" customHeight="false" outlineLevel="0" collapsed="false">
      <c r="A80" s="6" t="s">
        <v>425</v>
      </c>
      <c r="C80" s="37" t="n">
        <f aca="false">C78-C77-C72-C73</f>
        <v>0</v>
      </c>
      <c r="D80" s="37" t="n">
        <f aca="false">D78-D77-D72-D73</f>
        <v>0</v>
      </c>
      <c r="E80" s="37" t="n">
        <f aca="false">E78-E77-E72-E73</f>
        <v>-209720</v>
      </c>
      <c r="F80" s="37" t="n">
        <f aca="false">F78-F77-F72-F73</f>
        <v>5050</v>
      </c>
      <c r="G80" s="37" t="n">
        <f aca="false">G78-G77-G72-G73</f>
        <v>8300</v>
      </c>
      <c r="H80" s="37" t="n">
        <f aca="false">H78-H77-H72-H73</f>
        <v>11550</v>
      </c>
      <c r="I80" s="37" t="n">
        <f aca="false">I78-I77-I72-I73</f>
        <v>11550</v>
      </c>
      <c r="J80" s="37" t="n">
        <f aca="false">J78-J77-J72-J73</f>
        <v>11550</v>
      </c>
      <c r="K80" s="37" t="n">
        <f aca="false">K78-K77-K72-K73</f>
        <v>11550</v>
      </c>
      <c r="L80" s="37" t="n">
        <f aca="false">L78-L77-L72-L73</f>
        <v>11550</v>
      </c>
      <c r="M80" s="37" t="n">
        <f aca="false">M78-M77-M72-M73</f>
        <v>11550</v>
      </c>
      <c r="N80" s="37" t="n">
        <f aca="false">N78-N77-N72-N73</f>
        <v>11550</v>
      </c>
      <c r="O80" s="37" t="n">
        <f aca="false">O78-O77-O72-O73</f>
        <v>11550</v>
      </c>
      <c r="P80" s="37" t="n">
        <f aca="false">P78-P77-P72-P73</f>
        <v>11550</v>
      </c>
      <c r="Q80" s="37" t="n">
        <f aca="false">Q78-Q77-Q72-Q73</f>
        <v>11550</v>
      </c>
      <c r="R80" s="37" t="n">
        <f aca="false">R78-R77-R72-R73</f>
        <v>11550</v>
      </c>
      <c r="S80" s="37" t="n">
        <f aca="false">S78-S77-S72-S73</f>
        <v>11550</v>
      </c>
      <c r="T80" s="37" t="n">
        <f aca="false">T78-T77-T72-T73</f>
        <v>11550</v>
      </c>
      <c r="U80" s="37" t="n">
        <f aca="false">U78-U77-U72-U73</f>
        <v>11550</v>
      </c>
      <c r="V80" s="37" t="n">
        <f aca="false">V78-V77-V72-V73</f>
        <v>11550</v>
      </c>
      <c r="W80" s="37" t="n">
        <f aca="false">W78-W77-W72-W73</f>
        <v>11550</v>
      </c>
      <c r="X80" s="37" t="n">
        <f aca="false">X78-X77-X72-X73</f>
        <v>11550</v>
      </c>
      <c r="Y80" s="37" t="n">
        <f aca="false">Y78-Y77-Y72-Y73</f>
        <v>11550</v>
      </c>
      <c r="Z80" s="37" t="n">
        <f aca="false">Z78-Z77-Z72-Z73</f>
        <v>11550</v>
      </c>
    </row>
    <row r="82" customFormat="false" ht="15" hidden="false" customHeight="false" outlineLevel="0" collapsed="false">
      <c r="A82" s="4" t="s">
        <v>426</v>
      </c>
      <c r="B82" s="5"/>
      <c r="C82" s="5"/>
      <c r="D82" s="5"/>
      <c r="E82" s="5"/>
      <c r="F82" s="5"/>
      <c r="G82" s="5"/>
      <c r="H82" s="5"/>
      <c r="I82" s="5"/>
      <c r="J82" s="5"/>
      <c r="K82" s="5"/>
      <c r="L82" s="5"/>
      <c r="M82" s="5"/>
      <c r="N82" s="5"/>
      <c r="O82" s="5"/>
      <c r="P82" s="5"/>
      <c r="Q82" s="5"/>
      <c r="R82" s="5"/>
      <c r="S82" s="5"/>
      <c r="T82" s="5"/>
      <c r="U82" s="5"/>
      <c r="V82" s="5"/>
      <c r="W82" s="5"/>
      <c r="X82" s="5"/>
      <c r="Y82" s="5"/>
      <c r="Z82" s="5"/>
    </row>
    <row r="83" customFormat="false" ht="15" hidden="false" customHeight="false" outlineLevel="0" collapsed="false">
      <c r="A83" s="11" t="s">
        <v>427</v>
      </c>
      <c r="C83" s="35" t="n">
        <f aca="false">IF(AND('Other Initiatives'!$C$7="Yes",C$3='Other Initiatives'!$C$8),'Other Initiatives'!$C$11*Assumptions!$B$62,0)</f>
        <v>0</v>
      </c>
      <c r="D83" s="35" t="n">
        <f aca="false">IF(AND('Other Initiatives'!$C$7="Yes",D$3='Other Initiatives'!$C$8),'Other Initiatives'!$C$11*Assumptions!$B$62,0)</f>
        <v>0</v>
      </c>
      <c r="E83" s="35" t="n">
        <f aca="false">IF(AND('Other Initiatives'!$C$7="Yes",E$3='Other Initiatives'!$C$8),'Other Initiatives'!$C$11*Assumptions!$B$62,0)</f>
        <v>0</v>
      </c>
      <c r="F83" s="35" t="n">
        <f aca="false">IF(AND('Other Initiatives'!$C$7="Yes",F$3='Other Initiatives'!$C$8),'Other Initiatives'!$C$11*Assumptions!$B$62,0)</f>
        <v>0</v>
      </c>
      <c r="G83" s="35" t="n">
        <f aca="false">IF(AND('Other Initiatives'!$C$7="Yes",G$3='Other Initiatives'!$C$8),'Other Initiatives'!$C$11*Assumptions!$B$62,0)</f>
        <v>0</v>
      </c>
      <c r="H83" s="35" t="n">
        <f aca="false">IF(AND('Other Initiatives'!$C$7="Yes",H$3='Other Initiatives'!$C$8),'Other Initiatives'!$C$11*Assumptions!$B$62,0)</f>
        <v>0</v>
      </c>
      <c r="I83" s="35" t="n">
        <f aca="false">IF(AND('Other Initiatives'!$C$7="Yes",I$3='Other Initiatives'!$C$8),'Other Initiatives'!$C$11*Assumptions!$B$62,0)</f>
        <v>0</v>
      </c>
      <c r="J83" s="35" t="n">
        <f aca="false">IF(AND('Other Initiatives'!$C$7="Yes",J$3='Other Initiatives'!$C$8),'Other Initiatives'!$C$11*Assumptions!$B$62,0)</f>
        <v>0</v>
      </c>
      <c r="K83" s="35" t="n">
        <f aca="false">IF(AND('Other Initiatives'!$C$7="Yes",K$3='Other Initiatives'!$C$8),'Other Initiatives'!$C$11*Assumptions!$B$62,0)</f>
        <v>0</v>
      </c>
      <c r="L83" s="35" t="n">
        <f aca="false">IF(AND('Other Initiatives'!$C$7="Yes",L$3='Other Initiatives'!$C$8),'Other Initiatives'!$C$11*Assumptions!$B$62,0)</f>
        <v>0</v>
      </c>
      <c r="M83" s="35" t="n">
        <f aca="false">IF(AND('Other Initiatives'!$C$7="Yes",M$3='Other Initiatives'!$C$8),'Other Initiatives'!$C$11*Assumptions!$B$62,0)</f>
        <v>0</v>
      </c>
      <c r="N83" s="35" t="n">
        <f aca="false">IF(AND('Other Initiatives'!$C$7="Yes",N$3='Other Initiatives'!$C$8),'Other Initiatives'!$C$11*Assumptions!$B$62,0)</f>
        <v>0</v>
      </c>
      <c r="O83" s="35" t="n">
        <f aca="false">IF(AND('Other Initiatives'!$C$7="Yes",O$3='Other Initiatives'!$C$8),'Other Initiatives'!$C$11*Assumptions!$B$62,0)</f>
        <v>0</v>
      </c>
      <c r="P83" s="35" t="n">
        <f aca="false">IF(AND('Other Initiatives'!$C$7="Yes",P$3='Other Initiatives'!$C$8),'Other Initiatives'!$C$11*Assumptions!$B$62,0)</f>
        <v>0</v>
      </c>
      <c r="Q83" s="35" t="n">
        <f aca="false">IF(AND('Other Initiatives'!$C$7="Yes",Q$3='Other Initiatives'!$C$8),'Other Initiatives'!$C$11*Assumptions!$B$62,0)</f>
        <v>0</v>
      </c>
      <c r="R83" s="35" t="n">
        <f aca="false">IF(AND('Other Initiatives'!$C$7="Yes",R$3='Other Initiatives'!$C$8),'Other Initiatives'!$C$11*Assumptions!$B$62,0)</f>
        <v>0</v>
      </c>
      <c r="S83" s="35" t="n">
        <f aca="false">IF(AND('Other Initiatives'!$C$7="Yes",S$3='Other Initiatives'!$C$8),'Other Initiatives'!$C$11*Assumptions!$B$62,0)</f>
        <v>0</v>
      </c>
      <c r="T83" s="35" t="n">
        <f aca="false">IF(AND('Other Initiatives'!$C$7="Yes",T$3='Other Initiatives'!$C$8),'Other Initiatives'!$C$11*Assumptions!$B$62,0)</f>
        <v>0</v>
      </c>
      <c r="U83" s="35" t="n">
        <f aca="false">IF(AND('Other Initiatives'!$C$7="Yes",U$3='Other Initiatives'!$C$8),'Other Initiatives'!$C$11*Assumptions!$B$62,0)</f>
        <v>0</v>
      </c>
      <c r="V83" s="35" t="n">
        <f aca="false">IF(AND('Other Initiatives'!$C$7="Yes",V$3='Other Initiatives'!$C$8),'Other Initiatives'!$C$11*Assumptions!$B$62,0)</f>
        <v>0</v>
      </c>
      <c r="W83" s="35" t="n">
        <f aca="false">IF(AND('Other Initiatives'!$C$7="Yes",W$3='Other Initiatives'!$C$8),'Other Initiatives'!$C$11*Assumptions!$B$62,0)</f>
        <v>0</v>
      </c>
      <c r="X83" s="35" t="n">
        <f aca="false">IF(AND('Other Initiatives'!$C$7="Yes",X$3='Other Initiatives'!$C$8),'Other Initiatives'!$C$11*Assumptions!$B$62,0)</f>
        <v>0</v>
      </c>
      <c r="Y83" s="35" t="n">
        <f aca="false">IF(AND('Other Initiatives'!$C$7="Yes",Y$3='Other Initiatives'!$C$8),'Other Initiatives'!$C$11*Assumptions!$B$62,0)</f>
        <v>0</v>
      </c>
      <c r="Z83" s="35" t="n">
        <f aca="false">IF(AND('Other Initiatives'!$C$7="Yes",Z$3='Other Initiatives'!$C$8),'Other Initiatives'!$C$11*Assumptions!$B$62,0)</f>
        <v>0</v>
      </c>
    </row>
    <row r="84" customFormat="false" ht="15" hidden="false" customHeight="false" outlineLevel="0" collapsed="false">
      <c r="A84" s="11" t="s">
        <v>428</v>
      </c>
      <c r="C84" s="35" t="n">
        <f aca="false">IF(AND('Other Initiatives'!$C$7="Yes",C$3&gt;='Other Initiatives'!$C$8,OR('Other Initiatives'!$C$14=0,C$3&lt;='Other Initiatives'!$C$8+'Other Initiatives'!$C$14-1)),'Other Initiatives'!$C$12*Assumptions!$B$62,0)</f>
        <v>0</v>
      </c>
      <c r="D84" s="35" t="n">
        <f aca="false">IF(AND('Other Initiatives'!$C$7="Yes",D$3&gt;='Other Initiatives'!$C$8,OR('Other Initiatives'!$C$14=0,D$3&lt;='Other Initiatives'!$C$8+'Other Initiatives'!$C$14-1)),'Other Initiatives'!$C$12*Assumptions!$B$62,0)</f>
        <v>0</v>
      </c>
      <c r="E84" s="35" t="n">
        <f aca="false">IF(AND('Other Initiatives'!$C$7="Yes",E$3&gt;='Other Initiatives'!$C$8,OR('Other Initiatives'!$C$14=0,E$3&lt;='Other Initiatives'!$C$8+'Other Initiatives'!$C$14-1)),'Other Initiatives'!$C$12*Assumptions!$B$62,0)</f>
        <v>0</v>
      </c>
      <c r="F84" s="35" t="n">
        <f aca="false">IF(AND('Other Initiatives'!$C$7="Yes",F$3&gt;='Other Initiatives'!$C$8,OR('Other Initiatives'!$C$14=0,F$3&lt;='Other Initiatives'!$C$8+'Other Initiatives'!$C$14-1)),'Other Initiatives'!$C$12*Assumptions!$B$62,0)</f>
        <v>0</v>
      </c>
      <c r="G84" s="35" t="n">
        <f aca="false">IF(AND('Other Initiatives'!$C$7="Yes",G$3&gt;='Other Initiatives'!$C$8,OR('Other Initiatives'!$C$14=0,G$3&lt;='Other Initiatives'!$C$8+'Other Initiatives'!$C$14-1)),'Other Initiatives'!$C$12*Assumptions!$B$62,0)</f>
        <v>0</v>
      </c>
      <c r="H84" s="35" t="n">
        <f aca="false">IF(AND('Other Initiatives'!$C$7="Yes",H$3&gt;='Other Initiatives'!$C$8,OR('Other Initiatives'!$C$14=0,H$3&lt;='Other Initiatives'!$C$8+'Other Initiatives'!$C$14-1)),'Other Initiatives'!$C$12*Assumptions!$B$62,0)</f>
        <v>0</v>
      </c>
      <c r="I84" s="35" t="n">
        <f aca="false">IF(AND('Other Initiatives'!$C$7="Yes",I$3&gt;='Other Initiatives'!$C$8,OR('Other Initiatives'!$C$14=0,I$3&lt;='Other Initiatives'!$C$8+'Other Initiatives'!$C$14-1)),'Other Initiatives'!$C$12*Assumptions!$B$62,0)</f>
        <v>0</v>
      </c>
      <c r="J84" s="35" t="n">
        <f aca="false">IF(AND('Other Initiatives'!$C$7="Yes",J$3&gt;='Other Initiatives'!$C$8,OR('Other Initiatives'!$C$14=0,J$3&lt;='Other Initiatives'!$C$8+'Other Initiatives'!$C$14-1)),'Other Initiatives'!$C$12*Assumptions!$B$62,0)</f>
        <v>0</v>
      </c>
      <c r="K84" s="35" t="n">
        <f aca="false">IF(AND('Other Initiatives'!$C$7="Yes",K$3&gt;='Other Initiatives'!$C$8,OR('Other Initiatives'!$C$14=0,K$3&lt;='Other Initiatives'!$C$8+'Other Initiatives'!$C$14-1)),'Other Initiatives'!$C$12*Assumptions!$B$62,0)</f>
        <v>0</v>
      </c>
      <c r="L84" s="35" t="n">
        <f aca="false">IF(AND('Other Initiatives'!$C$7="Yes",L$3&gt;='Other Initiatives'!$C$8,OR('Other Initiatives'!$C$14=0,L$3&lt;='Other Initiatives'!$C$8+'Other Initiatives'!$C$14-1)),'Other Initiatives'!$C$12*Assumptions!$B$62,0)</f>
        <v>0</v>
      </c>
      <c r="M84" s="35" t="n">
        <f aca="false">IF(AND('Other Initiatives'!$C$7="Yes",M$3&gt;='Other Initiatives'!$C$8,OR('Other Initiatives'!$C$14=0,M$3&lt;='Other Initiatives'!$C$8+'Other Initiatives'!$C$14-1)),'Other Initiatives'!$C$12*Assumptions!$B$62,0)</f>
        <v>0</v>
      </c>
      <c r="N84" s="35" t="n">
        <f aca="false">IF(AND('Other Initiatives'!$C$7="Yes",N$3&gt;='Other Initiatives'!$C$8,OR('Other Initiatives'!$C$14=0,N$3&lt;='Other Initiatives'!$C$8+'Other Initiatives'!$C$14-1)),'Other Initiatives'!$C$12*Assumptions!$B$62,0)</f>
        <v>0</v>
      </c>
      <c r="O84" s="35" t="n">
        <f aca="false">IF(AND('Other Initiatives'!$C$7="Yes",O$3&gt;='Other Initiatives'!$C$8,OR('Other Initiatives'!$C$14=0,O$3&lt;='Other Initiatives'!$C$8+'Other Initiatives'!$C$14-1)),'Other Initiatives'!$C$12*Assumptions!$B$62,0)</f>
        <v>0</v>
      </c>
      <c r="P84" s="35" t="n">
        <f aca="false">IF(AND('Other Initiatives'!$C$7="Yes",P$3&gt;='Other Initiatives'!$C$8,OR('Other Initiatives'!$C$14=0,P$3&lt;='Other Initiatives'!$C$8+'Other Initiatives'!$C$14-1)),'Other Initiatives'!$C$12*Assumptions!$B$62,0)</f>
        <v>0</v>
      </c>
      <c r="Q84" s="35" t="n">
        <f aca="false">IF(AND('Other Initiatives'!$C$7="Yes",Q$3&gt;='Other Initiatives'!$C$8,OR('Other Initiatives'!$C$14=0,Q$3&lt;='Other Initiatives'!$C$8+'Other Initiatives'!$C$14-1)),'Other Initiatives'!$C$12*Assumptions!$B$62,0)</f>
        <v>0</v>
      </c>
      <c r="R84" s="35" t="n">
        <f aca="false">IF(AND('Other Initiatives'!$C$7="Yes",R$3&gt;='Other Initiatives'!$C$8,OR('Other Initiatives'!$C$14=0,R$3&lt;='Other Initiatives'!$C$8+'Other Initiatives'!$C$14-1)),'Other Initiatives'!$C$12*Assumptions!$B$62,0)</f>
        <v>0</v>
      </c>
      <c r="S84" s="35" t="n">
        <f aca="false">IF(AND('Other Initiatives'!$C$7="Yes",S$3&gt;='Other Initiatives'!$C$8,OR('Other Initiatives'!$C$14=0,S$3&lt;='Other Initiatives'!$C$8+'Other Initiatives'!$C$14-1)),'Other Initiatives'!$C$12*Assumptions!$B$62,0)</f>
        <v>0</v>
      </c>
      <c r="T84" s="35" t="n">
        <f aca="false">IF(AND('Other Initiatives'!$C$7="Yes",T$3&gt;='Other Initiatives'!$C$8,OR('Other Initiatives'!$C$14=0,T$3&lt;='Other Initiatives'!$C$8+'Other Initiatives'!$C$14-1)),'Other Initiatives'!$C$12*Assumptions!$B$62,0)</f>
        <v>0</v>
      </c>
      <c r="U84" s="35" t="n">
        <f aca="false">IF(AND('Other Initiatives'!$C$7="Yes",U$3&gt;='Other Initiatives'!$C$8,OR('Other Initiatives'!$C$14=0,U$3&lt;='Other Initiatives'!$C$8+'Other Initiatives'!$C$14-1)),'Other Initiatives'!$C$12*Assumptions!$B$62,0)</f>
        <v>0</v>
      </c>
      <c r="V84" s="35" t="n">
        <f aca="false">IF(AND('Other Initiatives'!$C$7="Yes",V$3&gt;='Other Initiatives'!$C$8,OR('Other Initiatives'!$C$14=0,V$3&lt;='Other Initiatives'!$C$8+'Other Initiatives'!$C$14-1)),'Other Initiatives'!$C$12*Assumptions!$B$62,0)</f>
        <v>0</v>
      </c>
      <c r="W84" s="35" t="n">
        <f aca="false">IF(AND('Other Initiatives'!$C$7="Yes",W$3&gt;='Other Initiatives'!$C$8,OR('Other Initiatives'!$C$14=0,W$3&lt;='Other Initiatives'!$C$8+'Other Initiatives'!$C$14-1)),'Other Initiatives'!$C$12*Assumptions!$B$62,0)</f>
        <v>0</v>
      </c>
      <c r="X84" s="35" t="n">
        <f aca="false">IF(AND('Other Initiatives'!$C$7="Yes",X$3&gt;='Other Initiatives'!$C$8,OR('Other Initiatives'!$C$14=0,X$3&lt;='Other Initiatives'!$C$8+'Other Initiatives'!$C$14-1)),'Other Initiatives'!$C$12*Assumptions!$B$62,0)</f>
        <v>0</v>
      </c>
      <c r="Y84" s="35" t="n">
        <f aca="false">IF(AND('Other Initiatives'!$C$7="Yes",Y$3&gt;='Other Initiatives'!$C$8,OR('Other Initiatives'!$C$14=0,Y$3&lt;='Other Initiatives'!$C$8+'Other Initiatives'!$C$14-1)),'Other Initiatives'!$C$12*Assumptions!$B$62,0)</f>
        <v>0</v>
      </c>
      <c r="Z84" s="35" t="n">
        <f aca="false">IF(AND('Other Initiatives'!$C$7="Yes",Z$3&gt;='Other Initiatives'!$C$8,OR('Other Initiatives'!$C$14=0,Z$3&lt;='Other Initiatives'!$C$8+'Other Initiatives'!$C$14-1)),'Other Initiatives'!$C$12*Assumptions!$B$62,0)</f>
        <v>0</v>
      </c>
    </row>
    <row r="85" customFormat="false" ht="15" hidden="false" customHeight="false" outlineLevel="0" collapsed="false">
      <c r="A85" s="11" t="s">
        <v>429</v>
      </c>
      <c r="C85" s="35" t="n">
        <f aca="false">IF(AND('Other Initiatives'!$C$7="Yes",C$3&gt;='Other Initiatives'!$C$8),'Other Initiatives'!$C$21/12*MIN(1,(C$3-'Other Initiatives'!$C$8+1)/MAX(1,'Other Initiatives'!$C$22))*Assumptions!$B$61,0)</f>
        <v>0</v>
      </c>
      <c r="D85" s="35" t="n">
        <f aca="false">IF(AND('Other Initiatives'!$C$7="Yes",D$3&gt;='Other Initiatives'!$C$8),'Other Initiatives'!$C$21/12*MIN(1,(D$3-'Other Initiatives'!$C$8+1)/MAX(1,'Other Initiatives'!$C$22))*Assumptions!$B$61,0)</f>
        <v>0</v>
      </c>
      <c r="E85" s="35" t="n">
        <f aca="false">IF(AND('Other Initiatives'!$C$7="Yes",E$3&gt;='Other Initiatives'!$C$8),'Other Initiatives'!$C$21/12*MIN(1,(E$3-'Other Initiatives'!$C$8+1)/MAX(1,'Other Initiatives'!$C$22))*Assumptions!$B$61,0)</f>
        <v>0</v>
      </c>
      <c r="F85" s="35" t="n">
        <f aca="false">IF(AND('Other Initiatives'!$C$7="Yes",F$3&gt;='Other Initiatives'!$C$8),'Other Initiatives'!$C$21/12*MIN(1,(F$3-'Other Initiatives'!$C$8+1)/MAX(1,'Other Initiatives'!$C$22))*Assumptions!$B$61,0)</f>
        <v>0</v>
      </c>
      <c r="G85" s="35" t="n">
        <f aca="false">IF(AND('Other Initiatives'!$C$7="Yes",G$3&gt;='Other Initiatives'!$C$8),'Other Initiatives'!$C$21/12*MIN(1,(G$3-'Other Initiatives'!$C$8+1)/MAX(1,'Other Initiatives'!$C$22))*Assumptions!$B$61,0)</f>
        <v>0</v>
      </c>
      <c r="H85" s="35" t="n">
        <f aca="false">IF(AND('Other Initiatives'!$C$7="Yes",H$3&gt;='Other Initiatives'!$C$8),'Other Initiatives'!$C$21/12*MIN(1,(H$3-'Other Initiatives'!$C$8+1)/MAX(1,'Other Initiatives'!$C$22))*Assumptions!$B$61,0)</f>
        <v>0</v>
      </c>
      <c r="I85" s="35" t="n">
        <f aca="false">IF(AND('Other Initiatives'!$C$7="Yes",I$3&gt;='Other Initiatives'!$C$8),'Other Initiatives'!$C$21/12*MIN(1,(I$3-'Other Initiatives'!$C$8+1)/MAX(1,'Other Initiatives'!$C$22))*Assumptions!$B$61,0)</f>
        <v>0</v>
      </c>
      <c r="J85" s="35" t="n">
        <f aca="false">IF(AND('Other Initiatives'!$C$7="Yes",J$3&gt;='Other Initiatives'!$C$8),'Other Initiatives'!$C$21/12*MIN(1,(J$3-'Other Initiatives'!$C$8+1)/MAX(1,'Other Initiatives'!$C$22))*Assumptions!$B$61,0)</f>
        <v>0</v>
      </c>
      <c r="K85" s="35" t="n">
        <f aca="false">IF(AND('Other Initiatives'!$C$7="Yes",K$3&gt;='Other Initiatives'!$C$8),'Other Initiatives'!$C$21/12*MIN(1,(K$3-'Other Initiatives'!$C$8+1)/MAX(1,'Other Initiatives'!$C$22))*Assumptions!$B$61,0)</f>
        <v>0</v>
      </c>
      <c r="L85" s="35" t="n">
        <f aca="false">IF(AND('Other Initiatives'!$C$7="Yes",L$3&gt;='Other Initiatives'!$C$8),'Other Initiatives'!$C$21/12*MIN(1,(L$3-'Other Initiatives'!$C$8+1)/MAX(1,'Other Initiatives'!$C$22))*Assumptions!$B$61,0)</f>
        <v>0</v>
      </c>
      <c r="M85" s="35" t="n">
        <f aca="false">IF(AND('Other Initiatives'!$C$7="Yes",M$3&gt;='Other Initiatives'!$C$8),'Other Initiatives'!$C$21/12*MIN(1,(M$3-'Other Initiatives'!$C$8+1)/MAX(1,'Other Initiatives'!$C$22))*Assumptions!$B$61,0)</f>
        <v>0</v>
      </c>
      <c r="N85" s="35" t="n">
        <f aca="false">IF(AND('Other Initiatives'!$C$7="Yes",N$3&gt;='Other Initiatives'!$C$8),'Other Initiatives'!$C$21/12*MIN(1,(N$3-'Other Initiatives'!$C$8+1)/MAX(1,'Other Initiatives'!$C$22))*Assumptions!$B$61,0)</f>
        <v>0</v>
      </c>
      <c r="O85" s="35" t="n">
        <f aca="false">IF(AND('Other Initiatives'!$C$7="Yes",O$3&gt;='Other Initiatives'!$C$8),'Other Initiatives'!$C$21/12*MIN(1,(O$3-'Other Initiatives'!$C$8+1)/MAX(1,'Other Initiatives'!$C$22))*Assumptions!$B$61,0)</f>
        <v>0</v>
      </c>
      <c r="P85" s="35" t="n">
        <f aca="false">IF(AND('Other Initiatives'!$C$7="Yes",P$3&gt;='Other Initiatives'!$C$8),'Other Initiatives'!$C$21/12*MIN(1,(P$3-'Other Initiatives'!$C$8+1)/MAX(1,'Other Initiatives'!$C$22))*Assumptions!$B$61,0)</f>
        <v>0</v>
      </c>
      <c r="Q85" s="35" t="n">
        <f aca="false">IF(AND('Other Initiatives'!$C$7="Yes",Q$3&gt;='Other Initiatives'!$C$8),'Other Initiatives'!$C$21/12*MIN(1,(Q$3-'Other Initiatives'!$C$8+1)/MAX(1,'Other Initiatives'!$C$22))*Assumptions!$B$61,0)</f>
        <v>0</v>
      </c>
      <c r="R85" s="35" t="n">
        <f aca="false">IF(AND('Other Initiatives'!$C$7="Yes",R$3&gt;='Other Initiatives'!$C$8),'Other Initiatives'!$C$21/12*MIN(1,(R$3-'Other Initiatives'!$C$8+1)/MAX(1,'Other Initiatives'!$C$22))*Assumptions!$B$61,0)</f>
        <v>0</v>
      </c>
      <c r="S85" s="35" t="n">
        <f aca="false">IF(AND('Other Initiatives'!$C$7="Yes",S$3&gt;='Other Initiatives'!$C$8),'Other Initiatives'!$C$21/12*MIN(1,(S$3-'Other Initiatives'!$C$8+1)/MAX(1,'Other Initiatives'!$C$22))*Assumptions!$B$61,0)</f>
        <v>0</v>
      </c>
      <c r="T85" s="35" t="n">
        <f aca="false">IF(AND('Other Initiatives'!$C$7="Yes",T$3&gt;='Other Initiatives'!$C$8),'Other Initiatives'!$C$21/12*MIN(1,(T$3-'Other Initiatives'!$C$8+1)/MAX(1,'Other Initiatives'!$C$22))*Assumptions!$B$61,0)</f>
        <v>0</v>
      </c>
      <c r="U85" s="35" t="n">
        <f aca="false">IF(AND('Other Initiatives'!$C$7="Yes",U$3&gt;='Other Initiatives'!$C$8),'Other Initiatives'!$C$21/12*MIN(1,(U$3-'Other Initiatives'!$C$8+1)/MAX(1,'Other Initiatives'!$C$22))*Assumptions!$B$61,0)</f>
        <v>0</v>
      </c>
      <c r="V85" s="35" t="n">
        <f aca="false">IF(AND('Other Initiatives'!$C$7="Yes",V$3&gt;='Other Initiatives'!$C$8),'Other Initiatives'!$C$21/12*MIN(1,(V$3-'Other Initiatives'!$C$8+1)/MAX(1,'Other Initiatives'!$C$22))*Assumptions!$B$61,0)</f>
        <v>0</v>
      </c>
      <c r="W85" s="35" t="n">
        <f aca="false">IF(AND('Other Initiatives'!$C$7="Yes",W$3&gt;='Other Initiatives'!$C$8),'Other Initiatives'!$C$21/12*MIN(1,(W$3-'Other Initiatives'!$C$8+1)/MAX(1,'Other Initiatives'!$C$22))*Assumptions!$B$61,0)</f>
        <v>0</v>
      </c>
      <c r="X85" s="35" t="n">
        <f aca="false">IF(AND('Other Initiatives'!$C$7="Yes",X$3&gt;='Other Initiatives'!$C$8),'Other Initiatives'!$C$21/12*MIN(1,(X$3-'Other Initiatives'!$C$8+1)/MAX(1,'Other Initiatives'!$C$22))*Assumptions!$B$61,0)</f>
        <v>0</v>
      </c>
      <c r="Y85" s="35" t="n">
        <f aca="false">IF(AND('Other Initiatives'!$C$7="Yes",Y$3&gt;='Other Initiatives'!$C$8),'Other Initiatives'!$C$21/12*MIN(1,(Y$3-'Other Initiatives'!$C$8+1)/MAX(1,'Other Initiatives'!$C$22))*Assumptions!$B$61,0)</f>
        <v>0</v>
      </c>
      <c r="Z85" s="35" t="n">
        <f aca="false">IF(AND('Other Initiatives'!$C$7="Yes",Z$3&gt;='Other Initiatives'!$C$8),'Other Initiatives'!$C$21/12*MIN(1,(Z$3-'Other Initiatives'!$C$8+1)/MAX(1,'Other Initiatives'!$C$22))*Assumptions!$B$61,0)</f>
        <v>0</v>
      </c>
    </row>
    <row r="86" customFormat="false" ht="15" hidden="false" customHeight="false" outlineLevel="0" collapsed="false">
      <c r="A86" s="36" t="s">
        <v>430</v>
      </c>
      <c r="C86" s="37" t="n">
        <f aca="false">C85-C83-C84</f>
        <v>0</v>
      </c>
      <c r="D86" s="37" t="n">
        <f aca="false">D85-D83-D84</f>
        <v>0</v>
      </c>
      <c r="E86" s="37" t="n">
        <f aca="false">E85-E83-E84</f>
        <v>0</v>
      </c>
      <c r="F86" s="37" t="n">
        <f aca="false">F85-F83-F84</f>
        <v>0</v>
      </c>
      <c r="G86" s="37" t="n">
        <f aca="false">G85-G83-G84</f>
        <v>0</v>
      </c>
      <c r="H86" s="37" t="n">
        <f aca="false">H85-H83-H84</f>
        <v>0</v>
      </c>
      <c r="I86" s="37" t="n">
        <f aca="false">I85-I83-I84</f>
        <v>0</v>
      </c>
      <c r="J86" s="37" t="n">
        <f aca="false">J85-J83-J84</f>
        <v>0</v>
      </c>
      <c r="K86" s="37" t="n">
        <f aca="false">K85-K83-K84</f>
        <v>0</v>
      </c>
      <c r="L86" s="37" t="n">
        <f aca="false">L85-L83-L84</f>
        <v>0</v>
      </c>
      <c r="M86" s="37" t="n">
        <f aca="false">M85-M83-M84</f>
        <v>0</v>
      </c>
      <c r="N86" s="37" t="n">
        <f aca="false">N85-N83-N84</f>
        <v>0</v>
      </c>
      <c r="O86" s="37" t="n">
        <f aca="false">O85-O83-O84</f>
        <v>0</v>
      </c>
      <c r="P86" s="37" t="n">
        <f aca="false">P85-P83-P84</f>
        <v>0</v>
      </c>
      <c r="Q86" s="37" t="n">
        <f aca="false">Q85-Q83-Q84</f>
        <v>0</v>
      </c>
      <c r="R86" s="37" t="n">
        <f aca="false">R85-R83-R84</f>
        <v>0</v>
      </c>
      <c r="S86" s="37" t="n">
        <f aca="false">S85-S83-S84</f>
        <v>0</v>
      </c>
      <c r="T86" s="37" t="n">
        <f aca="false">T85-T83-T84</f>
        <v>0</v>
      </c>
      <c r="U86" s="37" t="n">
        <f aca="false">U85-U83-U84</f>
        <v>0</v>
      </c>
      <c r="V86" s="37" t="n">
        <f aca="false">V85-V83-V84</f>
        <v>0</v>
      </c>
      <c r="W86" s="37" t="n">
        <f aca="false">W85-W83-W84</f>
        <v>0</v>
      </c>
      <c r="X86" s="37" t="n">
        <f aca="false">X85-X83-X84</f>
        <v>0</v>
      </c>
      <c r="Y86" s="37" t="n">
        <f aca="false">Y85-Y83-Y84</f>
        <v>0</v>
      </c>
      <c r="Z86" s="37" t="n">
        <f aca="false">Z85-Z83-Z84</f>
        <v>0</v>
      </c>
    </row>
    <row r="87" customFormat="false" ht="15" hidden="false" customHeight="false" outlineLevel="0" collapsed="false">
      <c r="A87" s="11" t="s">
        <v>431</v>
      </c>
      <c r="C87" s="35" t="n">
        <f aca="false">IF(AND('Other Initiatives'!$D$7="Yes",C$3='Other Initiatives'!$D$8),'Other Initiatives'!$D$11*Assumptions!$B$62,0)</f>
        <v>0</v>
      </c>
      <c r="D87" s="35" t="n">
        <f aca="false">IF(AND('Other Initiatives'!$D$7="Yes",D$3='Other Initiatives'!$D$8),'Other Initiatives'!$D$11*Assumptions!$B$62,0)</f>
        <v>0</v>
      </c>
      <c r="E87" s="35" t="n">
        <f aca="false">IF(AND('Other Initiatives'!$D$7="Yes",E$3='Other Initiatives'!$D$8),'Other Initiatives'!$D$11*Assumptions!$B$62,0)</f>
        <v>0</v>
      </c>
      <c r="F87" s="35" t="n">
        <f aca="false">IF(AND('Other Initiatives'!$D$7="Yes",F$3='Other Initiatives'!$D$8),'Other Initiatives'!$D$11*Assumptions!$B$62,0)</f>
        <v>0</v>
      </c>
      <c r="G87" s="35" t="n">
        <f aca="false">IF(AND('Other Initiatives'!$D$7="Yes",G$3='Other Initiatives'!$D$8),'Other Initiatives'!$D$11*Assumptions!$B$62,0)</f>
        <v>0</v>
      </c>
      <c r="H87" s="35" t="n">
        <f aca="false">IF(AND('Other Initiatives'!$D$7="Yes",H$3='Other Initiatives'!$D$8),'Other Initiatives'!$D$11*Assumptions!$B$62,0)</f>
        <v>0</v>
      </c>
      <c r="I87" s="35" t="n">
        <f aca="false">IF(AND('Other Initiatives'!$D$7="Yes",I$3='Other Initiatives'!$D$8),'Other Initiatives'!$D$11*Assumptions!$B$62,0)</f>
        <v>0</v>
      </c>
      <c r="J87" s="35" t="n">
        <f aca="false">IF(AND('Other Initiatives'!$D$7="Yes",J$3='Other Initiatives'!$D$8),'Other Initiatives'!$D$11*Assumptions!$B$62,0)</f>
        <v>0</v>
      </c>
      <c r="K87" s="35" t="n">
        <f aca="false">IF(AND('Other Initiatives'!$D$7="Yes",K$3='Other Initiatives'!$D$8),'Other Initiatives'!$D$11*Assumptions!$B$62,0)</f>
        <v>0</v>
      </c>
      <c r="L87" s="35" t="n">
        <f aca="false">IF(AND('Other Initiatives'!$D$7="Yes",L$3='Other Initiatives'!$D$8),'Other Initiatives'!$D$11*Assumptions!$B$62,0)</f>
        <v>0</v>
      </c>
      <c r="M87" s="35" t="n">
        <f aca="false">IF(AND('Other Initiatives'!$D$7="Yes",M$3='Other Initiatives'!$D$8),'Other Initiatives'!$D$11*Assumptions!$B$62,0)</f>
        <v>0</v>
      </c>
      <c r="N87" s="35" t="n">
        <f aca="false">IF(AND('Other Initiatives'!$D$7="Yes",N$3='Other Initiatives'!$D$8),'Other Initiatives'!$D$11*Assumptions!$B$62,0)</f>
        <v>0</v>
      </c>
      <c r="O87" s="35" t="n">
        <f aca="false">IF(AND('Other Initiatives'!$D$7="Yes",O$3='Other Initiatives'!$D$8),'Other Initiatives'!$D$11*Assumptions!$B$62,0)</f>
        <v>0</v>
      </c>
      <c r="P87" s="35" t="n">
        <f aca="false">IF(AND('Other Initiatives'!$D$7="Yes",P$3='Other Initiatives'!$D$8),'Other Initiatives'!$D$11*Assumptions!$B$62,0)</f>
        <v>0</v>
      </c>
      <c r="Q87" s="35" t="n">
        <f aca="false">IF(AND('Other Initiatives'!$D$7="Yes",Q$3='Other Initiatives'!$D$8),'Other Initiatives'!$D$11*Assumptions!$B$62,0)</f>
        <v>0</v>
      </c>
      <c r="R87" s="35" t="n">
        <f aca="false">IF(AND('Other Initiatives'!$D$7="Yes",R$3='Other Initiatives'!$D$8),'Other Initiatives'!$D$11*Assumptions!$B$62,0)</f>
        <v>0</v>
      </c>
      <c r="S87" s="35" t="n">
        <f aca="false">IF(AND('Other Initiatives'!$D$7="Yes",S$3='Other Initiatives'!$D$8),'Other Initiatives'!$D$11*Assumptions!$B$62,0)</f>
        <v>0</v>
      </c>
      <c r="T87" s="35" t="n">
        <f aca="false">IF(AND('Other Initiatives'!$D$7="Yes",T$3='Other Initiatives'!$D$8),'Other Initiatives'!$D$11*Assumptions!$B$62,0)</f>
        <v>0</v>
      </c>
      <c r="U87" s="35" t="n">
        <f aca="false">IF(AND('Other Initiatives'!$D$7="Yes",U$3='Other Initiatives'!$D$8),'Other Initiatives'!$D$11*Assumptions!$B$62,0)</f>
        <v>0</v>
      </c>
      <c r="V87" s="35" t="n">
        <f aca="false">IF(AND('Other Initiatives'!$D$7="Yes",V$3='Other Initiatives'!$D$8),'Other Initiatives'!$D$11*Assumptions!$B$62,0)</f>
        <v>0</v>
      </c>
      <c r="W87" s="35" t="n">
        <f aca="false">IF(AND('Other Initiatives'!$D$7="Yes",W$3='Other Initiatives'!$D$8),'Other Initiatives'!$D$11*Assumptions!$B$62,0)</f>
        <v>0</v>
      </c>
      <c r="X87" s="35" t="n">
        <f aca="false">IF(AND('Other Initiatives'!$D$7="Yes",X$3='Other Initiatives'!$D$8),'Other Initiatives'!$D$11*Assumptions!$B$62,0)</f>
        <v>0</v>
      </c>
      <c r="Y87" s="35" t="n">
        <f aca="false">IF(AND('Other Initiatives'!$D$7="Yes",Y$3='Other Initiatives'!$D$8),'Other Initiatives'!$D$11*Assumptions!$B$62,0)</f>
        <v>0</v>
      </c>
      <c r="Z87" s="35" t="n">
        <f aca="false">IF(AND('Other Initiatives'!$D$7="Yes",Z$3='Other Initiatives'!$D$8),'Other Initiatives'!$D$11*Assumptions!$B$62,0)</f>
        <v>0</v>
      </c>
    </row>
    <row r="88" customFormat="false" ht="15" hidden="false" customHeight="false" outlineLevel="0" collapsed="false">
      <c r="A88" s="11" t="s">
        <v>432</v>
      </c>
      <c r="C88" s="35" t="n">
        <f aca="false">IF(AND('Other Initiatives'!$D$7="Yes",C$3&gt;='Other Initiatives'!$D$8,OR('Other Initiatives'!$D$14=0,C$3&lt;='Other Initiatives'!$D$8+'Other Initiatives'!$D$14-1)),'Other Initiatives'!$D$12*Assumptions!$B$62,0)</f>
        <v>0</v>
      </c>
      <c r="D88" s="35" t="n">
        <f aca="false">IF(AND('Other Initiatives'!$D$7="Yes",D$3&gt;='Other Initiatives'!$D$8,OR('Other Initiatives'!$D$14=0,D$3&lt;='Other Initiatives'!$D$8+'Other Initiatives'!$D$14-1)),'Other Initiatives'!$D$12*Assumptions!$B$62,0)</f>
        <v>0</v>
      </c>
      <c r="E88" s="35" t="n">
        <f aca="false">IF(AND('Other Initiatives'!$D$7="Yes",E$3&gt;='Other Initiatives'!$D$8,OR('Other Initiatives'!$D$14=0,E$3&lt;='Other Initiatives'!$D$8+'Other Initiatives'!$D$14-1)),'Other Initiatives'!$D$12*Assumptions!$B$62,0)</f>
        <v>0</v>
      </c>
      <c r="F88" s="35" t="n">
        <f aca="false">IF(AND('Other Initiatives'!$D$7="Yes",F$3&gt;='Other Initiatives'!$D$8,OR('Other Initiatives'!$D$14=0,F$3&lt;='Other Initiatives'!$D$8+'Other Initiatives'!$D$14-1)),'Other Initiatives'!$D$12*Assumptions!$B$62,0)</f>
        <v>0</v>
      </c>
      <c r="G88" s="35" t="n">
        <f aca="false">IF(AND('Other Initiatives'!$D$7="Yes",G$3&gt;='Other Initiatives'!$D$8,OR('Other Initiatives'!$D$14=0,G$3&lt;='Other Initiatives'!$D$8+'Other Initiatives'!$D$14-1)),'Other Initiatives'!$D$12*Assumptions!$B$62,0)</f>
        <v>0</v>
      </c>
      <c r="H88" s="35" t="n">
        <f aca="false">IF(AND('Other Initiatives'!$D$7="Yes",H$3&gt;='Other Initiatives'!$D$8,OR('Other Initiatives'!$D$14=0,H$3&lt;='Other Initiatives'!$D$8+'Other Initiatives'!$D$14-1)),'Other Initiatives'!$D$12*Assumptions!$B$62,0)</f>
        <v>0</v>
      </c>
      <c r="I88" s="35" t="n">
        <f aca="false">IF(AND('Other Initiatives'!$D$7="Yes",I$3&gt;='Other Initiatives'!$D$8,OR('Other Initiatives'!$D$14=0,I$3&lt;='Other Initiatives'!$D$8+'Other Initiatives'!$D$14-1)),'Other Initiatives'!$D$12*Assumptions!$B$62,0)</f>
        <v>0</v>
      </c>
      <c r="J88" s="35" t="n">
        <f aca="false">IF(AND('Other Initiatives'!$D$7="Yes",J$3&gt;='Other Initiatives'!$D$8,OR('Other Initiatives'!$D$14=0,J$3&lt;='Other Initiatives'!$D$8+'Other Initiatives'!$D$14-1)),'Other Initiatives'!$D$12*Assumptions!$B$62,0)</f>
        <v>0</v>
      </c>
      <c r="K88" s="35" t="n">
        <f aca="false">IF(AND('Other Initiatives'!$D$7="Yes",K$3&gt;='Other Initiatives'!$D$8,OR('Other Initiatives'!$D$14=0,K$3&lt;='Other Initiatives'!$D$8+'Other Initiatives'!$D$14-1)),'Other Initiatives'!$D$12*Assumptions!$B$62,0)</f>
        <v>0</v>
      </c>
      <c r="L88" s="35" t="n">
        <f aca="false">IF(AND('Other Initiatives'!$D$7="Yes",L$3&gt;='Other Initiatives'!$D$8,OR('Other Initiatives'!$D$14=0,L$3&lt;='Other Initiatives'!$D$8+'Other Initiatives'!$D$14-1)),'Other Initiatives'!$D$12*Assumptions!$B$62,0)</f>
        <v>0</v>
      </c>
      <c r="M88" s="35" t="n">
        <f aca="false">IF(AND('Other Initiatives'!$D$7="Yes",M$3&gt;='Other Initiatives'!$D$8,OR('Other Initiatives'!$D$14=0,M$3&lt;='Other Initiatives'!$D$8+'Other Initiatives'!$D$14-1)),'Other Initiatives'!$D$12*Assumptions!$B$62,0)</f>
        <v>0</v>
      </c>
      <c r="N88" s="35" t="n">
        <f aca="false">IF(AND('Other Initiatives'!$D$7="Yes",N$3&gt;='Other Initiatives'!$D$8,OR('Other Initiatives'!$D$14=0,N$3&lt;='Other Initiatives'!$D$8+'Other Initiatives'!$D$14-1)),'Other Initiatives'!$D$12*Assumptions!$B$62,0)</f>
        <v>0</v>
      </c>
      <c r="O88" s="35" t="n">
        <f aca="false">IF(AND('Other Initiatives'!$D$7="Yes",O$3&gt;='Other Initiatives'!$D$8,OR('Other Initiatives'!$D$14=0,O$3&lt;='Other Initiatives'!$D$8+'Other Initiatives'!$D$14-1)),'Other Initiatives'!$D$12*Assumptions!$B$62,0)</f>
        <v>0</v>
      </c>
      <c r="P88" s="35" t="n">
        <f aca="false">IF(AND('Other Initiatives'!$D$7="Yes",P$3&gt;='Other Initiatives'!$D$8,OR('Other Initiatives'!$D$14=0,P$3&lt;='Other Initiatives'!$D$8+'Other Initiatives'!$D$14-1)),'Other Initiatives'!$D$12*Assumptions!$B$62,0)</f>
        <v>0</v>
      </c>
      <c r="Q88" s="35" t="n">
        <f aca="false">IF(AND('Other Initiatives'!$D$7="Yes",Q$3&gt;='Other Initiatives'!$D$8,OR('Other Initiatives'!$D$14=0,Q$3&lt;='Other Initiatives'!$D$8+'Other Initiatives'!$D$14-1)),'Other Initiatives'!$D$12*Assumptions!$B$62,0)</f>
        <v>0</v>
      </c>
      <c r="R88" s="35" t="n">
        <f aca="false">IF(AND('Other Initiatives'!$D$7="Yes",R$3&gt;='Other Initiatives'!$D$8,OR('Other Initiatives'!$D$14=0,R$3&lt;='Other Initiatives'!$D$8+'Other Initiatives'!$D$14-1)),'Other Initiatives'!$D$12*Assumptions!$B$62,0)</f>
        <v>0</v>
      </c>
      <c r="S88" s="35" t="n">
        <f aca="false">IF(AND('Other Initiatives'!$D$7="Yes",S$3&gt;='Other Initiatives'!$D$8,OR('Other Initiatives'!$D$14=0,S$3&lt;='Other Initiatives'!$D$8+'Other Initiatives'!$D$14-1)),'Other Initiatives'!$D$12*Assumptions!$B$62,0)</f>
        <v>0</v>
      </c>
      <c r="T88" s="35" t="n">
        <f aca="false">IF(AND('Other Initiatives'!$D$7="Yes",T$3&gt;='Other Initiatives'!$D$8,OR('Other Initiatives'!$D$14=0,T$3&lt;='Other Initiatives'!$D$8+'Other Initiatives'!$D$14-1)),'Other Initiatives'!$D$12*Assumptions!$B$62,0)</f>
        <v>0</v>
      </c>
      <c r="U88" s="35" t="n">
        <f aca="false">IF(AND('Other Initiatives'!$D$7="Yes",U$3&gt;='Other Initiatives'!$D$8,OR('Other Initiatives'!$D$14=0,U$3&lt;='Other Initiatives'!$D$8+'Other Initiatives'!$D$14-1)),'Other Initiatives'!$D$12*Assumptions!$B$62,0)</f>
        <v>0</v>
      </c>
      <c r="V88" s="35" t="n">
        <f aca="false">IF(AND('Other Initiatives'!$D$7="Yes",V$3&gt;='Other Initiatives'!$D$8,OR('Other Initiatives'!$D$14=0,V$3&lt;='Other Initiatives'!$D$8+'Other Initiatives'!$D$14-1)),'Other Initiatives'!$D$12*Assumptions!$B$62,0)</f>
        <v>0</v>
      </c>
      <c r="W88" s="35" t="n">
        <f aca="false">IF(AND('Other Initiatives'!$D$7="Yes",W$3&gt;='Other Initiatives'!$D$8,OR('Other Initiatives'!$D$14=0,W$3&lt;='Other Initiatives'!$D$8+'Other Initiatives'!$D$14-1)),'Other Initiatives'!$D$12*Assumptions!$B$62,0)</f>
        <v>0</v>
      </c>
      <c r="X88" s="35" t="n">
        <f aca="false">IF(AND('Other Initiatives'!$D$7="Yes",X$3&gt;='Other Initiatives'!$D$8,OR('Other Initiatives'!$D$14=0,X$3&lt;='Other Initiatives'!$D$8+'Other Initiatives'!$D$14-1)),'Other Initiatives'!$D$12*Assumptions!$B$62,0)</f>
        <v>0</v>
      </c>
      <c r="Y88" s="35" t="n">
        <f aca="false">IF(AND('Other Initiatives'!$D$7="Yes",Y$3&gt;='Other Initiatives'!$D$8,OR('Other Initiatives'!$D$14=0,Y$3&lt;='Other Initiatives'!$D$8+'Other Initiatives'!$D$14-1)),'Other Initiatives'!$D$12*Assumptions!$B$62,0)</f>
        <v>0</v>
      </c>
      <c r="Z88" s="35" t="n">
        <f aca="false">IF(AND('Other Initiatives'!$D$7="Yes",Z$3&gt;='Other Initiatives'!$D$8,OR('Other Initiatives'!$D$14=0,Z$3&lt;='Other Initiatives'!$D$8+'Other Initiatives'!$D$14-1)),'Other Initiatives'!$D$12*Assumptions!$B$62,0)</f>
        <v>0</v>
      </c>
    </row>
    <row r="89" customFormat="false" ht="15" hidden="false" customHeight="false" outlineLevel="0" collapsed="false">
      <c r="A89" s="11" t="s">
        <v>433</v>
      </c>
      <c r="C89" s="35" t="n">
        <f aca="false">IF(AND('Other Initiatives'!$D$7="Yes",C$3&gt;='Other Initiatives'!$D$8),'Other Initiatives'!$D$21/12*MIN(1,(C$3-'Other Initiatives'!$D$8+1)/MAX(1,'Other Initiatives'!$D$22))*Assumptions!$B$61,0)</f>
        <v>0</v>
      </c>
      <c r="D89" s="35" t="n">
        <f aca="false">IF(AND('Other Initiatives'!$D$7="Yes",D$3&gt;='Other Initiatives'!$D$8),'Other Initiatives'!$D$21/12*MIN(1,(D$3-'Other Initiatives'!$D$8+1)/MAX(1,'Other Initiatives'!$D$22))*Assumptions!$B$61,0)</f>
        <v>0</v>
      </c>
      <c r="E89" s="35" t="n">
        <f aca="false">IF(AND('Other Initiatives'!$D$7="Yes",E$3&gt;='Other Initiatives'!$D$8),'Other Initiatives'!$D$21/12*MIN(1,(E$3-'Other Initiatives'!$D$8+1)/MAX(1,'Other Initiatives'!$D$22))*Assumptions!$B$61,0)</f>
        <v>0</v>
      </c>
      <c r="F89" s="35" t="n">
        <f aca="false">IF(AND('Other Initiatives'!$D$7="Yes",F$3&gt;='Other Initiatives'!$D$8),'Other Initiatives'!$D$21/12*MIN(1,(F$3-'Other Initiatives'!$D$8+1)/MAX(1,'Other Initiatives'!$D$22))*Assumptions!$B$61,0)</f>
        <v>0</v>
      </c>
      <c r="G89" s="35" t="n">
        <f aca="false">IF(AND('Other Initiatives'!$D$7="Yes",G$3&gt;='Other Initiatives'!$D$8),'Other Initiatives'!$D$21/12*MIN(1,(G$3-'Other Initiatives'!$D$8+1)/MAX(1,'Other Initiatives'!$D$22))*Assumptions!$B$61,0)</f>
        <v>0</v>
      </c>
      <c r="H89" s="35" t="n">
        <f aca="false">IF(AND('Other Initiatives'!$D$7="Yes",H$3&gt;='Other Initiatives'!$D$8),'Other Initiatives'!$D$21/12*MIN(1,(H$3-'Other Initiatives'!$D$8+1)/MAX(1,'Other Initiatives'!$D$22))*Assumptions!$B$61,0)</f>
        <v>0</v>
      </c>
      <c r="I89" s="35" t="n">
        <f aca="false">IF(AND('Other Initiatives'!$D$7="Yes",I$3&gt;='Other Initiatives'!$D$8),'Other Initiatives'!$D$21/12*MIN(1,(I$3-'Other Initiatives'!$D$8+1)/MAX(1,'Other Initiatives'!$D$22))*Assumptions!$B$61,0)</f>
        <v>0</v>
      </c>
      <c r="J89" s="35" t="n">
        <f aca="false">IF(AND('Other Initiatives'!$D$7="Yes",J$3&gt;='Other Initiatives'!$D$8),'Other Initiatives'!$D$21/12*MIN(1,(J$3-'Other Initiatives'!$D$8+1)/MAX(1,'Other Initiatives'!$D$22))*Assumptions!$B$61,0)</f>
        <v>0</v>
      </c>
      <c r="K89" s="35" t="n">
        <f aca="false">IF(AND('Other Initiatives'!$D$7="Yes",K$3&gt;='Other Initiatives'!$D$8),'Other Initiatives'!$D$21/12*MIN(1,(K$3-'Other Initiatives'!$D$8+1)/MAX(1,'Other Initiatives'!$D$22))*Assumptions!$B$61,0)</f>
        <v>0</v>
      </c>
      <c r="L89" s="35" t="n">
        <f aca="false">IF(AND('Other Initiatives'!$D$7="Yes",L$3&gt;='Other Initiatives'!$D$8),'Other Initiatives'!$D$21/12*MIN(1,(L$3-'Other Initiatives'!$D$8+1)/MAX(1,'Other Initiatives'!$D$22))*Assumptions!$B$61,0)</f>
        <v>0</v>
      </c>
      <c r="M89" s="35" t="n">
        <f aca="false">IF(AND('Other Initiatives'!$D$7="Yes",M$3&gt;='Other Initiatives'!$D$8),'Other Initiatives'!$D$21/12*MIN(1,(M$3-'Other Initiatives'!$D$8+1)/MAX(1,'Other Initiatives'!$D$22))*Assumptions!$B$61,0)</f>
        <v>0</v>
      </c>
      <c r="N89" s="35" t="n">
        <f aca="false">IF(AND('Other Initiatives'!$D$7="Yes",N$3&gt;='Other Initiatives'!$D$8),'Other Initiatives'!$D$21/12*MIN(1,(N$3-'Other Initiatives'!$D$8+1)/MAX(1,'Other Initiatives'!$D$22))*Assumptions!$B$61,0)</f>
        <v>0</v>
      </c>
      <c r="O89" s="35" t="n">
        <f aca="false">IF(AND('Other Initiatives'!$D$7="Yes",O$3&gt;='Other Initiatives'!$D$8),'Other Initiatives'!$D$21/12*MIN(1,(O$3-'Other Initiatives'!$D$8+1)/MAX(1,'Other Initiatives'!$D$22))*Assumptions!$B$61,0)</f>
        <v>0</v>
      </c>
      <c r="P89" s="35" t="n">
        <f aca="false">IF(AND('Other Initiatives'!$D$7="Yes",P$3&gt;='Other Initiatives'!$D$8),'Other Initiatives'!$D$21/12*MIN(1,(P$3-'Other Initiatives'!$D$8+1)/MAX(1,'Other Initiatives'!$D$22))*Assumptions!$B$61,0)</f>
        <v>0</v>
      </c>
      <c r="Q89" s="35" t="n">
        <f aca="false">IF(AND('Other Initiatives'!$D$7="Yes",Q$3&gt;='Other Initiatives'!$D$8),'Other Initiatives'!$D$21/12*MIN(1,(Q$3-'Other Initiatives'!$D$8+1)/MAX(1,'Other Initiatives'!$D$22))*Assumptions!$B$61,0)</f>
        <v>0</v>
      </c>
      <c r="R89" s="35" t="n">
        <f aca="false">IF(AND('Other Initiatives'!$D$7="Yes",R$3&gt;='Other Initiatives'!$D$8),'Other Initiatives'!$D$21/12*MIN(1,(R$3-'Other Initiatives'!$D$8+1)/MAX(1,'Other Initiatives'!$D$22))*Assumptions!$B$61,0)</f>
        <v>0</v>
      </c>
      <c r="S89" s="35" t="n">
        <f aca="false">IF(AND('Other Initiatives'!$D$7="Yes",S$3&gt;='Other Initiatives'!$D$8),'Other Initiatives'!$D$21/12*MIN(1,(S$3-'Other Initiatives'!$D$8+1)/MAX(1,'Other Initiatives'!$D$22))*Assumptions!$B$61,0)</f>
        <v>0</v>
      </c>
      <c r="T89" s="35" t="n">
        <f aca="false">IF(AND('Other Initiatives'!$D$7="Yes",T$3&gt;='Other Initiatives'!$D$8),'Other Initiatives'!$D$21/12*MIN(1,(T$3-'Other Initiatives'!$D$8+1)/MAX(1,'Other Initiatives'!$D$22))*Assumptions!$B$61,0)</f>
        <v>0</v>
      </c>
      <c r="U89" s="35" t="n">
        <f aca="false">IF(AND('Other Initiatives'!$D$7="Yes",U$3&gt;='Other Initiatives'!$D$8),'Other Initiatives'!$D$21/12*MIN(1,(U$3-'Other Initiatives'!$D$8+1)/MAX(1,'Other Initiatives'!$D$22))*Assumptions!$B$61,0)</f>
        <v>0</v>
      </c>
      <c r="V89" s="35" t="n">
        <f aca="false">IF(AND('Other Initiatives'!$D$7="Yes",V$3&gt;='Other Initiatives'!$D$8),'Other Initiatives'!$D$21/12*MIN(1,(V$3-'Other Initiatives'!$D$8+1)/MAX(1,'Other Initiatives'!$D$22))*Assumptions!$B$61,0)</f>
        <v>0</v>
      </c>
      <c r="W89" s="35" t="n">
        <f aca="false">IF(AND('Other Initiatives'!$D$7="Yes",W$3&gt;='Other Initiatives'!$D$8),'Other Initiatives'!$D$21/12*MIN(1,(W$3-'Other Initiatives'!$D$8+1)/MAX(1,'Other Initiatives'!$D$22))*Assumptions!$B$61,0)</f>
        <v>0</v>
      </c>
      <c r="X89" s="35" t="n">
        <f aca="false">IF(AND('Other Initiatives'!$D$7="Yes",X$3&gt;='Other Initiatives'!$D$8),'Other Initiatives'!$D$21/12*MIN(1,(X$3-'Other Initiatives'!$D$8+1)/MAX(1,'Other Initiatives'!$D$22))*Assumptions!$B$61,0)</f>
        <v>0</v>
      </c>
      <c r="Y89" s="35" t="n">
        <f aca="false">IF(AND('Other Initiatives'!$D$7="Yes",Y$3&gt;='Other Initiatives'!$D$8),'Other Initiatives'!$D$21/12*MIN(1,(Y$3-'Other Initiatives'!$D$8+1)/MAX(1,'Other Initiatives'!$D$22))*Assumptions!$B$61,0)</f>
        <v>0</v>
      </c>
      <c r="Z89" s="35" t="n">
        <f aca="false">IF(AND('Other Initiatives'!$D$7="Yes",Z$3&gt;='Other Initiatives'!$D$8),'Other Initiatives'!$D$21/12*MIN(1,(Z$3-'Other Initiatives'!$D$8+1)/MAX(1,'Other Initiatives'!$D$22))*Assumptions!$B$61,0)</f>
        <v>0</v>
      </c>
    </row>
    <row r="90" customFormat="false" ht="15" hidden="false" customHeight="false" outlineLevel="0" collapsed="false">
      <c r="A90" s="36" t="s">
        <v>434</v>
      </c>
      <c r="C90" s="37" t="n">
        <f aca="false">C89-C87-C88</f>
        <v>0</v>
      </c>
      <c r="D90" s="37" t="n">
        <f aca="false">D89-D87-D88</f>
        <v>0</v>
      </c>
      <c r="E90" s="37" t="n">
        <f aca="false">E89-E87-E88</f>
        <v>0</v>
      </c>
      <c r="F90" s="37" t="n">
        <f aca="false">F89-F87-F88</f>
        <v>0</v>
      </c>
      <c r="G90" s="37" t="n">
        <f aca="false">G89-G87-G88</f>
        <v>0</v>
      </c>
      <c r="H90" s="37" t="n">
        <f aca="false">H89-H87-H88</f>
        <v>0</v>
      </c>
      <c r="I90" s="37" t="n">
        <f aca="false">I89-I87-I88</f>
        <v>0</v>
      </c>
      <c r="J90" s="37" t="n">
        <f aca="false">J89-J87-J88</f>
        <v>0</v>
      </c>
      <c r="K90" s="37" t="n">
        <f aca="false">K89-K87-K88</f>
        <v>0</v>
      </c>
      <c r="L90" s="37" t="n">
        <f aca="false">L89-L87-L88</f>
        <v>0</v>
      </c>
      <c r="M90" s="37" t="n">
        <f aca="false">M89-M87-M88</f>
        <v>0</v>
      </c>
      <c r="N90" s="37" t="n">
        <f aca="false">N89-N87-N88</f>
        <v>0</v>
      </c>
      <c r="O90" s="37" t="n">
        <f aca="false">O89-O87-O88</f>
        <v>0</v>
      </c>
      <c r="P90" s="37" t="n">
        <f aca="false">P89-P87-P88</f>
        <v>0</v>
      </c>
      <c r="Q90" s="37" t="n">
        <f aca="false">Q89-Q87-Q88</f>
        <v>0</v>
      </c>
      <c r="R90" s="37" t="n">
        <f aca="false">R89-R87-R88</f>
        <v>0</v>
      </c>
      <c r="S90" s="37" t="n">
        <f aca="false">S89-S87-S88</f>
        <v>0</v>
      </c>
      <c r="T90" s="37" t="n">
        <f aca="false">T89-T87-T88</f>
        <v>0</v>
      </c>
      <c r="U90" s="37" t="n">
        <f aca="false">U89-U87-U88</f>
        <v>0</v>
      </c>
      <c r="V90" s="37" t="n">
        <f aca="false">V89-V87-V88</f>
        <v>0</v>
      </c>
      <c r="W90" s="37" t="n">
        <f aca="false">W89-W87-W88</f>
        <v>0</v>
      </c>
      <c r="X90" s="37" t="n">
        <f aca="false">X89-X87-X88</f>
        <v>0</v>
      </c>
      <c r="Y90" s="37" t="n">
        <f aca="false">Y89-Y87-Y88</f>
        <v>0</v>
      </c>
      <c r="Z90" s="37" t="n">
        <f aca="false">Z89-Z87-Z88</f>
        <v>0</v>
      </c>
    </row>
    <row r="91" customFormat="false" ht="15" hidden="false" customHeight="false" outlineLevel="0" collapsed="false">
      <c r="A91" s="11" t="s">
        <v>435</v>
      </c>
      <c r="C91" s="35" t="n">
        <f aca="false">IF(AND('Other Initiatives'!$E$7="Yes",C$3='Other Initiatives'!$E$8),'Other Initiatives'!$E$11*Assumptions!$B$62,0)</f>
        <v>0</v>
      </c>
      <c r="D91" s="35" t="n">
        <f aca="false">IF(AND('Other Initiatives'!$E$7="Yes",D$3='Other Initiatives'!$E$8),'Other Initiatives'!$E$11*Assumptions!$B$62,0)</f>
        <v>0</v>
      </c>
      <c r="E91" s="35" t="n">
        <f aca="false">IF(AND('Other Initiatives'!$E$7="Yes",E$3='Other Initiatives'!$E$8),'Other Initiatives'!$E$11*Assumptions!$B$62,0)</f>
        <v>0</v>
      </c>
      <c r="F91" s="35" t="n">
        <f aca="false">IF(AND('Other Initiatives'!$E$7="Yes",F$3='Other Initiatives'!$E$8),'Other Initiatives'!$E$11*Assumptions!$B$62,0)</f>
        <v>0</v>
      </c>
      <c r="G91" s="35" t="n">
        <f aca="false">IF(AND('Other Initiatives'!$E$7="Yes",G$3='Other Initiatives'!$E$8),'Other Initiatives'!$E$11*Assumptions!$B$62,0)</f>
        <v>0</v>
      </c>
      <c r="H91" s="35" t="n">
        <f aca="false">IF(AND('Other Initiatives'!$E$7="Yes",H$3='Other Initiatives'!$E$8),'Other Initiatives'!$E$11*Assumptions!$B$62,0)</f>
        <v>0</v>
      </c>
      <c r="I91" s="35" t="n">
        <f aca="false">IF(AND('Other Initiatives'!$E$7="Yes",I$3='Other Initiatives'!$E$8),'Other Initiatives'!$E$11*Assumptions!$B$62,0)</f>
        <v>0</v>
      </c>
      <c r="J91" s="35" t="n">
        <f aca="false">IF(AND('Other Initiatives'!$E$7="Yes",J$3='Other Initiatives'!$E$8),'Other Initiatives'!$E$11*Assumptions!$B$62,0)</f>
        <v>0</v>
      </c>
      <c r="K91" s="35" t="n">
        <f aca="false">IF(AND('Other Initiatives'!$E$7="Yes",K$3='Other Initiatives'!$E$8),'Other Initiatives'!$E$11*Assumptions!$B$62,0)</f>
        <v>0</v>
      </c>
      <c r="L91" s="35" t="n">
        <f aca="false">IF(AND('Other Initiatives'!$E$7="Yes",L$3='Other Initiatives'!$E$8),'Other Initiatives'!$E$11*Assumptions!$B$62,0)</f>
        <v>0</v>
      </c>
      <c r="M91" s="35" t="n">
        <f aca="false">IF(AND('Other Initiatives'!$E$7="Yes",M$3='Other Initiatives'!$E$8),'Other Initiatives'!$E$11*Assumptions!$B$62,0)</f>
        <v>0</v>
      </c>
      <c r="N91" s="35" t="n">
        <f aca="false">IF(AND('Other Initiatives'!$E$7="Yes",N$3='Other Initiatives'!$E$8),'Other Initiatives'!$E$11*Assumptions!$B$62,0)</f>
        <v>0</v>
      </c>
      <c r="O91" s="35" t="n">
        <f aca="false">IF(AND('Other Initiatives'!$E$7="Yes",O$3='Other Initiatives'!$E$8),'Other Initiatives'!$E$11*Assumptions!$B$62,0)</f>
        <v>0</v>
      </c>
      <c r="P91" s="35" t="n">
        <f aca="false">IF(AND('Other Initiatives'!$E$7="Yes",P$3='Other Initiatives'!$E$8),'Other Initiatives'!$E$11*Assumptions!$B$62,0)</f>
        <v>0</v>
      </c>
      <c r="Q91" s="35" t="n">
        <f aca="false">IF(AND('Other Initiatives'!$E$7="Yes",Q$3='Other Initiatives'!$E$8),'Other Initiatives'!$E$11*Assumptions!$B$62,0)</f>
        <v>0</v>
      </c>
      <c r="R91" s="35" t="n">
        <f aca="false">IF(AND('Other Initiatives'!$E$7="Yes",R$3='Other Initiatives'!$E$8),'Other Initiatives'!$E$11*Assumptions!$B$62,0)</f>
        <v>0</v>
      </c>
      <c r="S91" s="35" t="n">
        <f aca="false">IF(AND('Other Initiatives'!$E$7="Yes",S$3='Other Initiatives'!$E$8),'Other Initiatives'!$E$11*Assumptions!$B$62,0)</f>
        <v>0</v>
      </c>
      <c r="T91" s="35" t="n">
        <f aca="false">IF(AND('Other Initiatives'!$E$7="Yes",T$3='Other Initiatives'!$E$8),'Other Initiatives'!$E$11*Assumptions!$B$62,0)</f>
        <v>0</v>
      </c>
      <c r="U91" s="35" t="n">
        <f aca="false">IF(AND('Other Initiatives'!$E$7="Yes",U$3='Other Initiatives'!$E$8),'Other Initiatives'!$E$11*Assumptions!$B$62,0)</f>
        <v>0</v>
      </c>
      <c r="V91" s="35" t="n">
        <f aca="false">IF(AND('Other Initiatives'!$E$7="Yes",V$3='Other Initiatives'!$E$8),'Other Initiatives'!$E$11*Assumptions!$B$62,0)</f>
        <v>0</v>
      </c>
      <c r="W91" s="35" t="n">
        <f aca="false">IF(AND('Other Initiatives'!$E$7="Yes",W$3='Other Initiatives'!$E$8),'Other Initiatives'!$E$11*Assumptions!$B$62,0)</f>
        <v>0</v>
      </c>
      <c r="X91" s="35" t="n">
        <f aca="false">IF(AND('Other Initiatives'!$E$7="Yes",X$3='Other Initiatives'!$E$8),'Other Initiatives'!$E$11*Assumptions!$B$62,0)</f>
        <v>0</v>
      </c>
      <c r="Y91" s="35" t="n">
        <f aca="false">IF(AND('Other Initiatives'!$E$7="Yes",Y$3='Other Initiatives'!$E$8),'Other Initiatives'!$E$11*Assumptions!$B$62,0)</f>
        <v>0</v>
      </c>
      <c r="Z91" s="35" t="n">
        <f aca="false">IF(AND('Other Initiatives'!$E$7="Yes",Z$3='Other Initiatives'!$E$8),'Other Initiatives'!$E$11*Assumptions!$B$62,0)</f>
        <v>0</v>
      </c>
    </row>
    <row r="92" customFormat="false" ht="15" hidden="false" customHeight="false" outlineLevel="0" collapsed="false">
      <c r="A92" s="11" t="s">
        <v>436</v>
      </c>
      <c r="C92" s="35" t="n">
        <f aca="false">IF(AND('Other Initiatives'!$E$7="Yes",C$3&gt;='Other Initiatives'!$E$8,OR('Other Initiatives'!$E$14=0,C$3&lt;='Other Initiatives'!$E$8+'Other Initiatives'!$E$14-1)),'Other Initiatives'!$E$12*Assumptions!$B$62,0)</f>
        <v>0</v>
      </c>
      <c r="D92" s="35" t="n">
        <f aca="false">IF(AND('Other Initiatives'!$E$7="Yes",D$3&gt;='Other Initiatives'!$E$8,OR('Other Initiatives'!$E$14=0,D$3&lt;='Other Initiatives'!$E$8+'Other Initiatives'!$E$14-1)),'Other Initiatives'!$E$12*Assumptions!$B$62,0)</f>
        <v>0</v>
      </c>
      <c r="E92" s="35" t="n">
        <f aca="false">IF(AND('Other Initiatives'!$E$7="Yes",E$3&gt;='Other Initiatives'!$E$8,OR('Other Initiatives'!$E$14=0,E$3&lt;='Other Initiatives'!$E$8+'Other Initiatives'!$E$14-1)),'Other Initiatives'!$E$12*Assumptions!$B$62,0)</f>
        <v>0</v>
      </c>
      <c r="F92" s="35" t="n">
        <f aca="false">IF(AND('Other Initiatives'!$E$7="Yes",F$3&gt;='Other Initiatives'!$E$8,OR('Other Initiatives'!$E$14=0,F$3&lt;='Other Initiatives'!$E$8+'Other Initiatives'!$E$14-1)),'Other Initiatives'!$E$12*Assumptions!$B$62,0)</f>
        <v>0</v>
      </c>
      <c r="G92" s="35" t="n">
        <f aca="false">IF(AND('Other Initiatives'!$E$7="Yes",G$3&gt;='Other Initiatives'!$E$8,OR('Other Initiatives'!$E$14=0,G$3&lt;='Other Initiatives'!$E$8+'Other Initiatives'!$E$14-1)),'Other Initiatives'!$E$12*Assumptions!$B$62,0)</f>
        <v>0</v>
      </c>
      <c r="H92" s="35" t="n">
        <f aca="false">IF(AND('Other Initiatives'!$E$7="Yes",H$3&gt;='Other Initiatives'!$E$8,OR('Other Initiatives'!$E$14=0,H$3&lt;='Other Initiatives'!$E$8+'Other Initiatives'!$E$14-1)),'Other Initiatives'!$E$12*Assumptions!$B$62,0)</f>
        <v>0</v>
      </c>
      <c r="I92" s="35" t="n">
        <f aca="false">IF(AND('Other Initiatives'!$E$7="Yes",I$3&gt;='Other Initiatives'!$E$8,OR('Other Initiatives'!$E$14=0,I$3&lt;='Other Initiatives'!$E$8+'Other Initiatives'!$E$14-1)),'Other Initiatives'!$E$12*Assumptions!$B$62,0)</f>
        <v>0</v>
      </c>
      <c r="J92" s="35" t="n">
        <f aca="false">IF(AND('Other Initiatives'!$E$7="Yes",J$3&gt;='Other Initiatives'!$E$8,OR('Other Initiatives'!$E$14=0,J$3&lt;='Other Initiatives'!$E$8+'Other Initiatives'!$E$14-1)),'Other Initiatives'!$E$12*Assumptions!$B$62,0)</f>
        <v>0</v>
      </c>
      <c r="K92" s="35" t="n">
        <f aca="false">IF(AND('Other Initiatives'!$E$7="Yes",K$3&gt;='Other Initiatives'!$E$8,OR('Other Initiatives'!$E$14=0,K$3&lt;='Other Initiatives'!$E$8+'Other Initiatives'!$E$14-1)),'Other Initiatives'!$E$12*Assumptions!$B$62,0)</f>
        <v>0</v>
      </c>
      <c r="L92" s="35" t="n">
        <f aca="false">IF(AND('Other Initiatives'!$E$7="Yes",L$3&gt;='Other Initiatives'!$E$8,OR('Other Initiatives'!$E$14=0,L$3&lt;='Other Initiatives'!$E$8+'Other Initiatives'!$E$14-1)),'Other Initiatives'!$E$12*Assumptions!$B$62,0)</f>
        <v>0</v>
      </c>
      <c r="M92" s="35" t="n">
        <f aca="false">IF(AND('Other Initiatives'!$E$7="Yes",M$3&gt;='Other Initiatives'!$E$8,OR('Other Initiatives'!$E$14=0,M$3&lt;='Other Initiatives'!$E$8+'Other Initiatives'!$E$14-1)),'Other Initiatives'!$E$12*Assumptions!$B$62,0)</f>
        <v>0</v>
      </c>
      <c r="N92" s="35" t="n">
        <f aca="false">IF(AND('Other Initiatives'!$E$7="Yes",N$3&gt;='Other Initiatives'!$E$8,OR('Other Initiatives'!$E$14=0,N$3&lt;='Other Initiatives'!$E$8+'Other Initiatives'!$E$14-1)),'Other Initiatives'!$E$12*Assumptions!$B$62,0)</f>
        <v>0</v>
      </c>
      <c r="O92" s="35" t="n">
        <f aca="false">IF(AND('Other Initiatives'!$E$7="Yes",O$3&gt;='Other Initiatives'!$E$8,OR('Other Initiatives'!$E$14=0,O$3&lt;='Other Initiatives'!$E$8+'Other Initiatives'!$E$14-1)),'Other Initiatives'!$E$12*Assumptions!$B$62,0)</f>
        <v>0</v>
      </c>
      <c r="P92" s="35" t="n">
        <f aca="false">IF(AND('Other Initiatives'!$E$7="Yes",P$3&gt;='Other Initiatives'!$E$8,OR('Other Initiatives'!$E$14=0,P$3&lt;='Other Initiatives'!$E$8+'Other Initiatives'!$E$14-1)),'Other Initiatives'!$E$12*Assumptions!$B$62,0)</f>
        <v>0</v>
      </c>
      <c r="Q92" s="35" t="n">
        <f aca="false">IF(AND('Other Initiatives'!$E$7="Yes",Q$3&gt;='Other Initiatives'!$E$8,OR('Other Initiatives'!$E$14=0,Q$3&lt;='Other Initiatives'!$E$8+'Other Initiatives'!$E$14-1)),'Other Initiatives'!$E$12*Assumptions!$B$62,0)</f>
        <v>0</v>
      </c>
      <c r="R92" s="35" t="n">
        <f aca="false">IF(AND('Other Initiatives'!$E$7="Yes",R$3&gt;='Other Initiatives'!$E$8,OR('Other Initiatives'!$E$14=0,R$3&lt;='Other Initiatives'!$E$8+'Other Initiatives'!$E$14-1)),'Other Initiatives'!$E$12*Assumptions!$B$62,0)</f>
        <v>0</v>
      </c>
      <c r="S92" s="35" t="n">
        <f aca="false">IF(AND('Other Initiatives'!$E$7="Yes",S$3&gt;='Other Initiatives'!$E$8,OR('Other Initiatives'!$E$14=0,S$3&lt;='Other Initiatives'!$E$8+'Other Initiatives'!$E$14-1)),'Other Initiatives'!$E$12*Assumptions!$B$62,0)</f>
        <v>0</v>
      </c>
      <c r="T92" s="35" t="n">
        <f aca="false">IF(AND('Other Initiatives'!$E$7="Yes",T$3&gt;='Other Initiatives'!$E$8,OR('Other Initiatives'!$E$14=0,T$3&lt;='Other Initiatives'!$E$8+'Other Initiatives'!$E$14-1)),'Other Initiatives'!$E$12*Assumptions!$B$62,0)</f>
        <v>0</v>
      </c>
      <c r="U92" s="35" t="n">
        <f aca="false">IF(AND('Other Initiatives'!$E$7="Yes",U$3&gt;='Other Initiatives'!$E$8,OR('Other Initiatives'!$E$14=0,U$3&lt;='Other Initiatives'!$E$8+'Other Initiatives'!$E$14-1)),'Other Initiatives'!$E$12*Assumptions!$B$62,0)</f>
        <v>0</v>
      </c>
      <c r="V92" s="35" t="n">
        <f aca="false">IF(AND('Other Initiatives'!$E$7="Yes",V$3&gt;='Other Initiatives'!$E$8,OR('Other Initiatives'!$E$14=0,V$3&lt;='Other Initiatives'!$E$8+'Other Initiatives'!$E$14-1)),'Other Initiatives'!$E$12*Assumptions!$B$62,0)</f>
        <v>0</v>
      </c>
      <c r="W92" s="35" t="n">
        <f aca="false">IF(AND('Other Initiatives'!$E$7="Yes",W$3&gt;='Other Initiatives'!$E$8,OR('Other Initiatives'!$E$14=0,W$3&lt;='Other Initiatives'!$E$8+'Other Initiatives'!$E$14-1)),'Other Initiatives'!$E$12*Assumptions!$B$62,0)</f>
        <v>0</v>
      </c>
      <c r="X92" s="35" t="n">
        <f aca="false">IF(AND('Other Initiatives'!$E$7="Yes",X$3&gt;='Other Initiatives'!$E$8,OR('Other Initiatives'!$E$14=0,X$3&lt;='Other Initiatives'!$E$8+'Other Initiatives'!$E$14-1)),'Other Initiatives'!$E$12*Assumptions!$B$62,0)</f>
        <v>0</v>
      </c>
      <c r="Y92" s="35" t="n">
        <f aca="false">IF(AND('Other Initiatives'!$E$7="Yes",Y$3&gt;='Other Initiatives'!$E$8,OR('Other Initiatives'!$E$14=0,Y$3&lt;='Other Initiatives'!$E$8+'Other Initiatives'!$E$14-1)),'Other Initiatives'!$E$12*Assumptions!$B$62,0)</f>
        <v>0</v>
      </c>
      <c r="Z92" s="35" t="n">
        <f aca="false">IF(AND('Other Initiatives'!$E$7="Yes",Z$3&gt;='Other Initiatives'!$E$8,OR('Other Initiatives'!$E$14=0,Z$3&lt;='Other Initiatives'!$E$8+'Other Initiatives'!$E$14-1)),'Other Initiatives'!$E$12*Assumptions!$B$62,0)</f>
        <v>0</v>
      </c>
    </row>
    <row r="93" customFormat="false" ht="15" hidden="false" customHeight="false" outlineLevel="0" collapsed="false">
      <c r="A93" s="11" t="s">
        <v>437</v>
      </c>
      <c r="C93" s="35" t="n">
        <f aca="false">IF(AND('Other Initiatives'!$E$7="Yes",C$3&gt;='Other Initiatives'!$E$8),'Other Initiatives'!$E$21/12*MIN(1,(C$3-'Other Initiatives'!$E$8+1)/MAX(1,'Other Initiatives'!$E$22))*Assumptions!$B$61,0)</f>
        <v>0</v>
      </c>
      <c r="D93" s="35" t="n">
        <f aca="false">IF(AND('Other Initiatives'!$E$7="Yes",D$3&gt;='Other Initiatives'!$E$8),'Other Initiatives'!$E$21/12*MIN(1,(D$3-'Other Initiatives'!$E$8+1)/MAX(1,'Other Initiatives'!$E$22))*Assumptions!$B$61,0)</f>
        <v>0</v>
      </c>
      <c r="E93" s="35" t="n">
        <f aca="false">IF(AND('Other Initiatives'!$E$7="Yes",E$3&gt;='Other Initiatives'!$E$8),'Other Initiatives'!$E$21/12*MIN(1,(E$3-'Other Initiatives'!$E$8+1)/MAX(1,'Other Initiatives'!$E$22))*Assumptions!$B$61,0)</f>
        <v>0</v>
      </c>
      <c r="F93" s="35" t="n">
        <f aca="false">IF(AND('Other Initiatives'!$E$7="Yes",F$3&gt;='Other Initiatives'!$E$8),'Other Initiatives'!$E$21/12*MIN(1,(F$3-'Other Initiatives'!$E$8+1)/MAX(1,'Other Initiatives'!$E$22))*Assumptions!$B$61,0)</f>
        <v>0</v>
      </c>
      <c r="G93" s="35" t="n">
        <f aca="false">IF(AND('Other Initiatives'!$E$7="Yes",G$3&gt;='Other Initiatives'!$E$8),'Other Initiatives'!$E$21/12*MIN(1,(G$3-'Other Initiatives'!$E$8+1)/MAX(1,'Other Initiatives'!$E$22))*Assumptions!$B$61,0)</f>
        <v>0</v>
      </c>
      <c r="H93" s="35" t="n">
        <f aca="false">IF(AND('Other Initiatives'!$E$7="Yes",H$3&gt;='Other Initiatives'!$E$8),'Other Initiatives'!$E$21/12*MIN(1,(H$3-'Other Initiatives'!$E$8+1)/MAX(1,'Other Initiatives'!$E$22))*Assumptions!$B$61,0)</f>
        <v>0</v>
      </c>
      <c r="I93" s="35" t="n">
        <f aca="false">IF(AND('Other Initiatives'!$E$7="Yes",I$3&gt;='Other Initiatives'!$E$8),'Other Initiatives'!$E$21/12*MIN(1,(I$3-'Other Initiatives'!$E$8+1)/MAX(1,'Other Initiatives'!$E$22))*Assumptions!$B$61,0)</f>
        <v>0</v>
      </c>
      <c r="J93" s="35" t="n">
        <f aca="false">IF(AND('Other Initiatives'!$E$7="Yes",J$3&gt;='Other Initiatives'!$E$8),'Other Initiatives'!$E$21/12*MIN(1,(J$3-'Other Initiatives'!$E$8+1)/MAX(1,'Other Initiatives'!$E$22))*Assumptions!$B$61,0)</f>
        <v>0</v>
      </c>
      <c r="K93" s="35" t="n">
        <f aca="false">IF(AND('Other Initiatives'!$E$7="Yes",K$3&gt;='Other Initiatives'!$E$8),'Other Initiatives'!$E$21/12*MIN(1,(K$3-'Other Initiatives'!$E$8+1)/MAX(1,'Other Initiatives'!$E$22))*Assumptions!$B$61,0)</f>
        <v>0</v>
      </c>
      <c r="L93" s="35" t="n">
        <f aca="false">IF(AND('Other Initiatives'!$E$7="Yes",L$3&gt;='Other Initiatives'!$E$8),'Other Initiatives'!$E$21/12*MIN(1,(L$3-'Other Initiatives'!$E$8+1)/MAX(1,'Other Initiatives'!$E$22))*Assumptions!$B$61,0)</f>
        <v>0</v>
      </c>
      <c r="M93" s="35" t="n">
        <f aca="false">IF(AND('Other Initiatives'!$E$7="Yes",M$3&gt;='Other Initiatives'!$E$8),'Other Initiatives'!$E$21/12*MIN(1,(M$3-'Other Initiatives'!$E$8+1)/MAX(1,'Other Initiatives'!$E$22))*Assumptions!$B$61,0)</f>
        <v>0</v>
      </c>
      <c r="N93" s="35" t="n">
        <f aca="false">IF(AND('Other Initiatives'!$E$7="Yes",N$3&gt;='Other Initiatives'!$E$8),'Other Initiatives'!$E$21/12*MIN(1,(N$3-'Other Initiatives'!$E$8+1)/MAX(1,'Other Initiatives'!$E$22))*Assumptions!$B$61,0)</f>
        <v>0</v>
      </c>
      <c r="O93" s="35" t="n">
        <f aca="false">IF(AND('Other Initiatives'!$E$7="Yes",O$3&gt;='Other Initiatives'!$E$8),'Other Initiatives'!$E$21/12*MIN(1,(O$3-'Other Initiatives'!$E$8+1)/MAX(1,'Other Initiatives'!$E$22))*Assumptions!$B$61,0)</f>
        <v>0</v>
      </c>
      <c r="P93" s="35" t="n">
        <f aca="false">IF(AND('Other Initiatives'!$E$7="Yes",P$3&gt;='Other Initiatives'!$E$8),'Other Initiatives'!$E$21/12*MIN(1,(P$3-'Other Initiatives'!$E$8+1)/MAX(1,'Other Initiatives'!$E$22))*Assumptions!$B$61,0)</f>
        <v>0</v>
      </c>
      <c r="Q93" s="35" t="n">
        <f aca="false">IF(AND('Other Initiatives'!$E$7="Yes",Q$3&gt;='Other Initiatives'!$E$8),'Other Initiatives'!$E$21/12*MIN(1,(Q$3-'Other Initiatives'!$E$8+1)/MAX(1,'Other Initiatives'!$E$22))*Assumptions!$B$61,0)</f>
        <v>0</v>
      </c>
      <c r="R93" s="35" t="n">
        <f aca="false">IF(AND('Other Initiatives'!$E$7="Yes",R$3&gt;='Other Initiatives'!$E$8),'Other Initiatives'!$E$21/12*MIN(1,(R$3-'Other Initiatives'!$E$8+1)/MAX(1,'Other Initiatives'!$E$22))*Assumptions!$B$61,0)</f>
        <v>0</v>
      </c>
      <c r="S93" s="35" t="n">
        <f aca="false">IF(AND('Other Initiatives'!$E$7="Yes",S$3&gt;='Other Initiatives'!$E$8),'Other Initiatives'!$E$21/12*MIN(1,(S$3-'Other Initiatives'!$E$8+1)/MAX(1,'Other Initiatives'!$E$22))*Assumptions!$B$61,0)</f>
        <v>0</v>
      </c>
      <c r="T93" s="35" t="n">
        <f aca="false">IF(AND('Other Initiatives'!$E$7="Yes",T$3&gt;='Other Initiatives'!$E$8),'Other Initiatives'!$E$21/12*MIN(1,(T$3-'Other Initiatives'!$E$8+1)/MAX(1,'Other Initiatives'!$E$22))*Assumptions!$B$61,0)</f>
        <v>0</v>
      </c>
      <c r="U93" s="35" t="n">
        <f aca="false">IF(AND('Other Initiatives'!$E$7="Yes",U$3&gt;='Other Initiatives'!$E$8),'Other Initiatives'!$E$21/12*MIN(1,(U$3-'Other Initiatives'!$E$8+1)/MAX(1,'Other Initiatives'!$E$22))*Assumptions!$B$61,0)</f>
        <v>0</v>
      </c>
      <c r="V93" s="35" t="n">
        <f aca="false">IF(AND('Other Initiatives'!$E$7="Yes",V$3&gt;='Other Initiatives'!$E$8),'Other Initiatives'!$E$21/12*MIN(1,(V$3-'Other Initiatives'!$E$8+1)/MAX(1,'Other Initiatives'!$E$22))*Assumptions!$B$61,0)</f>
        <v>0</v>
      </c>
      <c r="W93" s="35" t="n">
        <f aca="false">IF(AND('Other Initiatives'!$E$7="Yes",W$3&gt;='Other Initiatives'!$E$8),'Other Initiatives'!$E$21/12*MIN(1,(W$3-'Other Initiatives'!$E$8+1)/MAX(1,'Other Initiatives'!$E$22))*Assumptions!$B$61,0)</f>
        <v>0</v>
      </c>
      <c r="X93" s="35" t="n">
        <f aca="false">IF(AND('Other Initiatives'!$E$7="Yes",X$3&gt;='Other Initiatives'!$E$8),'Other Initiatives'!$E$21/12*MIN(1,(X$3-'Other Initiatives'!$E$8+1)/MAX(1,'Other Initiatives'!$E$22))*Assumptions!$B$61,0)</f>
        <v>0</v>
      </c>
      <c r="Y93" s="35" t="n">
        <f aca="false">IF(AND('Other Initiatives'!$E$7="Yes",Y$3&gt;='Other Initiatives'!$E$8),'Other Initiatives'!$E$21/12*MIN(1,(Y$3-'Other Initiatives'!$E$8+1)/MAX(1,'Other Initiatives'!$E$22))*Assumptions!$B$61,0)</f>
        <v>0</v>
      </c>
      <c r="Z93" s="35" t="n">
        <f aca="false">IF(AND('Other Initiatives'!$E$7="Yes",Z$3&gt;='Other Initiatives'!$E$8),'Other Initiatives'!$E$21/12*MIN(1,(Z$3-'Other Initiatives'!$E$8+1)/MAX(1,'Other Initiatives'!$E$22))*Assumptions!$B$61,0)</f>
        <v>0</v>
      </c>
    </row>
    <row r="94" customFormat="false" ht="15" hidden="false" customHeight="false" outlineLevel="0" collapsed="false">
      <c r="A94" s="36" t="s">
        <v>438</v>
      </c>
      <c r="C94" s="37" t="n">
        <f aca="false">C93-C91-C92</f>
        <v>0</v>
      </c>
      <c r="D94" s="37" t="n">
        <f aca="false">D93-D91-D92</f>
        <v>0</v>
      </c>
      <c r="E94" s="37" t="n">
        <f aca="false">E93-E91-E92</f>
        <v>0</v>
      </c>
      <c r="F94" s="37" t="n">
        <f aca="false">F93-F91-F92</f>
        <v>0</v>
      </c>
      <c r="G94" s="37" t="n">
        <f aca="false">G93-G91-G92</f>
        <v>0</v>
      </c>
      <c r="H94" s="37" t="n">
        <f aca="false">H93-H91-H92</f>
        <v>0</v>
      </c>
      <c r="I94" s="37" t="n">
        <f aca="false">I93-I91-I92</f>
        <v>0</v>
      </c>
      <c r="J94" s="37" t="n">
        <f aca="false">J93-J91-J92</f>
        <v>0</v>
      </c>
      <c r="K94" s="37" t="n">
        <f aca="false">K93-K91-K92</f>
        <v>0</v>
      </c>
      <c r="L94" s="37" t="n">
        <f aca="false">L93-L91-L92</f>
        <v>0</v>
      </c>
      <c r="M94" s="37" t="n">
        <f aca="false">M93-M91-M92</f>
        <v>0</v>
      </c>
      <c r="N94" s="37" t="n">
        <f aca="false">N93-N91-N92</f>
        <v>0</v>
      </c>
      <c r="O94" s="37" t="n">
        <f aca="false">O93-O91-O92</f>
        <v>0</v>
      </c>
      <c r="P94" s="37" t="n">
        <f aca="false">P93-P91-P92</f>
        <v>0</v>
      </c>
      <c r="Q94" s="37" t="n">
        <f aca="false">Q93-Q91-Q92</f>
        <v>0</v>
      </c>
      <c r="R94" s="37" t="n">
        <f aca="false">R93-R91-R92</f>
        <v>0</v>
      </c>
      <c r="S94" s="37" t="n">
        <f aca="false">S93-S91-S92</f>
        <v>0</v>
      </c>
      <c r="T94" s="37" t="n">
        <f aca="false">T93-T91-T92</f>
        <v>0</v>
      </c>
      <c r="U94" s="37" t="n">
        <f aca="false">U93-U91-U92</f>
        <v>0</v>
      </c>
      <c r="V94" s="37" t="n">
        <f aca="false">V93-V91-V92</f>
        <v>0</v>
      </c>
      <c r="W94" s="37" t="n">
        <f aca="false">W93-W91-W92</f>
        <v>0</v>
      </c>
      <c r="X94" s="37" t="n">
        <f aca="false">X93-X91-X92</f>
        <v>0</v>
      </c>
      <c r="Y94" s="37" t="n">
        <f aca="false">Y93-Y91-Y92</f>
        <v>0</v>
      </c>
      <c r="Z94" s="37" t="n">
        <f aca="false">Z93-Z91-Z92</f>
        <v>0</v>
      </c>
    </row>
    <row r="95" customFormat="false" ht="15" hidden="false" customHeight="false" outlineLevel="0" collapsed="false">
      <c r="A95" s="11" t="s">
        <v>439</v>
      </c>
      <c r="C95" s="35" t="n">
        <f aca="false">IF(AND('Other Initiatives'!$F$7="Yes",C$3='Other Initiatives'!$F$8),'Other Initiatives'!$F$11*Assumptions!$B$62,0)</f>
        <v>0</v>
      </c>
      <c r="D95" s="35" t="n">
        <f aca="false">IF(AND('Other Initiatives'!$F$7="Yes",D$3='Other Initiatives'!$F$8),'Other Initiatives'!$F$11*Assumptions!$B$62,0)</f>
        <v>0</v>
      </c>
      <c r="E95" s="35" t="n">
        <f aca="false">IF(AND('Other Initiatives'!$F$7="Yes",E$3='Other Initiatives'!$F$8),'Other Initiatives'!$F$11*Assumptions!$B$62,0)</f>
        <v>0</v>
      </c>
      <c r="F95" s="35" t="n">
        <f aca="false">IF(AND('Other Initiatives'!$F$7="Yes",F$3='Other Initiatives'!$F$8),'Other Initiatives'!$F$11*Assumptions!$B$62,0)</f>
        <v>0</v>
      </c>
      <c r="G95" s="35" t="n">
        <f aca="false">IF(AND('Other Initiatives'!$F$7="Yes",G$3='Other Initiatives'!$F$8),'Other Initiatives'!$F$11*Assumptions!$B$62,0)</f>
        <v>0</v>
      </c>
      <c r="H95" s="35" t="n">
        <f aca="false">IF(AND('Other Initiatives'!$F$7="Yes",H$3='Other Initiatives'!$F$8),'Other Initiatives'!$F$11*Assumptions!$B$62,0)</f>
        <v>0</v>
      </c>
      <c r="I95" s="35" t="n">
        <f aca="false">IF(AND('Other Initiatives'!$F$7="Yes",I$3='Other Initiatives'!$F$8),'Other Initiatives'!$F$11*Assumptions!$B$62,0)</f>
        <v>0</v>
      </c>
      <c r="J95" s="35" t="n">
        <f aca="false">IF(AND('Other Initiatives'!$F$7="Yes",J$3='Other Initiatives'!$F$8),'Other Initiatives'!$F$11*Assumptions!$B$62,0)</f>
        <v>0</v>
      </c>
      <c r="K95" s="35" t="n">
        <f aca="false">IF(AND('Other Initiatives'!$F$7="Yes",K$3='Other Initiatives'!$F$8),'Other Initiatives'!$F$11*Assumptions!$B$62,0)</f>
        <v>0</v>
      </c>
      <c r="L95" s="35" t="n">
        <f aca="false">IF(AND('Other Initiatives'!$F$7="Yes",L$3='Other Initiatives'!$F$8),'Other Initiatives'!$F$11*Assumptions!$B$62,0)</f>
        <v>0</v>
      </c>
      <c r="M95" s="35" t="n">
        <f aca="false">IF(AND('Other Initiatives'!$F$7="Yes",M$3='Other Initiatives'!$F$8),'Other Initiatives'!$F$11*Assumptions!$B$62,0)</f>
        <v>0</v>
      </c>
      <c r="N95" s="35" t="n">
        <f aca="false">IF(AND('Other Initiatives'!$F$7="Yes",N$3='Other Initiatives'!$F$8),'Other Initiatives'!$F$11*Assumptions!$B$62,0)</f>
        <v>0</v>
      </c>
      <c r="O95" s="35" t="n">
        <f aca="false">IF(AND('Other Initiatives'!$F$7="Yes",O$3='Other Initiatives'!$F$8),'Other Initiatives'!$F$11*Assumptions!$B$62,0)</f>
        <v>0</v>
      </c>
      <c r="P95" s="35" t="n">
        <f aca="false">IF(AND('Other Initiatives'!$F$7="Yes",P$3='Other Initiatives'!$F$8),'Other Initiatives'!$F$11*Assumptions!$B$62,0)</f>
        <v>0</v>
      </c>
      <c r="Q95" s="35" t="n">
        <f aca="false">IF(AND('Other Initiatives'!$F$7="Yes",Q$3='Other Initiatives'!$F$8),'Other Initiatives'!$F$11*Assumptions!$B$62,0)</f>
        <v>0</v>
      </c>
      <c r="R95" s="35" t="n">
        <f aca="false">IF(AND('Other Initiatives'!$F$7="Yes",R$3='Other Initiatives'!$F$8),'Other Initiatives'!$F$11*Assumptions!$B$62,0)</f>
        <v>0</v>
      </c>
      <c r="S95" s="35" t="n">
        <f aca="false">IF(AND('Other Initiatives'!$F$7="Yes",S$3='Other Initiatives'!$F$8),'Other Initiatives'!$F$11*Assumptions!$B$62,0)</f>
        <v>0</v>
      </c>
      <c r="T95" s="35" t="n">
        <f aca="false">IF(AND('Other Initiatives'!$F$7="Yes",T$3='Other Initiatives'!$F$8),'Other Initiatives'!$F$11*Assumptions!$B$62,0)</f>
        <v>0</v>
      </c>
      <c r="U95" s="35" t="n">
        <f aca="false">IF(AND('Other Initiatives'!$F$7="Yes",U$3='Other Initiatives'!$F$8),'Other Initiatives'!$F$11*Assumptions!$B$62,0)</f>
        <v>0</v>
      </c>
      <c r="V95" s="35" t="n">
        <f aca="false">IF(AND('Other Initiatives'!$F$7="Yes",V$3='Other Initiatives'!$F$8),'Other Initiatives'!$F$11*Assumptions!$B$62,0)</f>
        <v>0</v>
      </c>
      <c r="W95" s="35" t="n">
        <f aca="false">IF(AND('Other Initiatives'!$F$7="Yes",W$3='Other Initiatives'!$F$8),'Other Initiatives'!$F$11*Assumptions!$B$62,0)</f>
        <v>0</v>
      </c>
      <c r="X95" s="35" t="n">
        <f aca="false">IF(AND('Other Initiatives'!$F$7="Yes",X$3='Other Initiatives'!$F$8),'Other Initiatives'!$F$11*Assumptions!$B$62,0)</f>
        <v>0</v>
      </c>
      <c r="Y95" s="35" t="n">
        <f aca="false">IF(AND('Other Initiatives'!$F$7="Yes",Y$3='Other Initiatives'!$F$8),'Other Initiatives'!$F$11*Assumptions!$B$62,0)</f>
        <v>0</v>
      </c>
      <c r="Z95" s="35" t="n">
        <f aca="false">IF(AND('Other Initiatives'!$F$7="Yes",Z$3='Other Initiatives'!$F$8),'Other Initiatives'!$F$11*Assumptions!$B$62,0)</f>
        <v>0</v>
      </c>
    </row>
    <row r="96" customFormat="false" ht="15" hidden="false" customHeight="false" outlineLevel="0" collapsed="false">
      <c r="A96" s="11" t="s">
        <v>440</v>
      </c>
      <c r="C96" s="35" t="n">
        <f aca="false">IF(AND('Other Initiatives'!$F$7="Yes",C$3&gt;='Other Initiatives'!$F$8,OR('Other Initiatives'!$F$14=0,C$3&lt;='Other Initiatives'!$F$8+'Other Initiatives'!$F$14-1)),'Other Initiatives'!$F$12*Assumptions!$B$62,0)</f>
        <v>0</v>
      </c>
      <c r="D96" s="35" t="n">
        <f aca="false">IF(AND('Other Initiatives'!$F$7="Yes",D$3&gt;='Other Initiatives'!$F$8,OR('Other Initiatives'!$F$14=0,D$3&lt;='Other Initiatives'!$F$8+'Other Initiatives'!$F$14-1)),'Other Initiatives'!$F$12*Assumptions!$B$62,0)</f>
        <v>0</v>
      </c>
      <c r="E96" s="35" t="n">
        <f aca="false">IF(AND('Other Initiatives'!$F$7="Yes",E$3&gt;='Other Initiatives'!$F$8,OR('Other Initiatives'!$F$14=0,E$3&lt;='Other Initiatives'!$F$8+'Other Initiatives'!$F$14-1)),'Other Initiatives'!$F$12*Assumptions!$B$62,0)</f>
        <v>0</v>
      </c>
      <c r="F96" s="35" t="n">
        <f aca="false">IF(AND('Other Initiatives'!$F$7="Yes",F$3&gt;='Other Initiatives'!$F$8,OR('Other Initiatives'!$F$14=0,F$3&lt;='Other Initiatives'!$F$8+'Other Initiatives'!$F$14-1)),'Other Initiatives'!$F$12*Assumptions!$B$62,0)</f>
        <v>0</v>
      </c>
      <c r="G96" s="35" t="n">
        <f aca="false">IF(AND('Other Initiatives'!$F$7="Yes",G$3&gt;='Other Initiatives'!$F$8,OR('Other Initiatives'!$F$14=0,G$3&lt;='Other Initiatives'!$F$8+'Other Initiatives'!$F$14-1)),'Other Initiatives'!$F$12*Assumptions!$B$62,0)</f>
        <v>0</v>
      </c>
      <c r="H96" s="35" t="n">
        <f aca="false">IF(AND('Other Initiatives'!$F$7="Yes",H$3&gt;='Other Initiatives'!$F$8,OR('Other Initiatives'!$F$14=0,H$3&lt;='Other Initiatives'!$F$8+'Other Initiatives'!$F$14-1)),'Other Initiatives'!$F$12*Assumptions!$B$62,0)</f>
        <v>0</v>
      </c>
      <c r="I96" s="35" t="n">
        <f aca="false">IF(AND('Other Initiatives'!$F$7="Yes",I$3&gt;='Other Initiatives'!$F$8,OR('Other Initiatives'!$F$14=0,I$3&lt;='Other Initiatives'!$F$8+'Other Initiatives'!$F$14-1)),'Other Initiatives'!$F$12*Assumptions!$B$62,0)</f>
        <v>0</v>
      </c>
      <c r="J96" s="35" t="n">
        <f aca="false">IF(AND('Other Initiatives'!$F$7="Yes",J$3&gt;='Other Initiatives'!$F$8,OR('Other Initiatives'!$F$14=0,J$3&lt;='Other Initiatives'!$F$8+'Other Initiatives'!$F$14-1)),'Other Initiatives'!$F$12*Assumptions!$B$62,0)</f>
        <v>0</v>
      </c>
      <c r="K96" s="35" t="n">
        <f aca="false">IF(AND('Other Initiatives'!$F$7="Yes",K$3&gt;='Other Initiatives'!$F$8,OR('Other Initiatives'!$F$14=0,K$3&lt;='Other Initiatives'!$F$8+'Other Initiatives'!$F$14-1)),'Other Initiatives'!$F$12*Assumptions!$B$62,0)</f>
        <v>0</v>
      </c>
      <c r="L96" s="35" t="n">
        <f aca="false">IF(AND('Other Initiatives'!$F$7="Yes",L$3&gt;='Other Initiatives'!$F$8,OR('Other Initiatives'!$F$14=0,L$3&lt;='Other Initiatives'!$F$8+'Other Initiatives'!$F$14-1)),'Other Initiatives'!$F$12*Assumptions!$B$62,0)</f>
        <v>0</v>
      </c>
      <c r="M96" s="35" t="n">
        <f aca="false">IF(AND('Other Initiatives'!$F$7="Yes",M$3&gt;='Other Initiatives'!$F$8,OR('Other Initiatives'!$F$14=0,M$3&lt;='Other Initiatives'!$F$8+'Other Initiatives'!$F$14-1)),'Other Initiatives'!$F$12*Assumptions!$B$62,0)</f>
        <v>0</v>
      </c>
      <c r="N96" s="35" t="n">
        <f aca="false">IF(AND('Other Initiatives'!$F$7="Yes",N$3&gt;='Other Initiatives'!$F$8,OR('Other Initiatives'!$F$14=0,N$3&lt;='Other Initiatives'!$F$8+'Other Initiatives'!$F$14-1)),'Other Initiatives'!$F$12*Assumptions!$B$62,0)</f>
        <v>0</v>
      </c>
      <c r="O96" s="35" t="n">
        <f aca="false">IF(AND('Other Initiatives'!$F$7="Yes",O$3&gt;='Other Initiatives'!$F$8,OR('Other Initiatives'!$F$14=0,O$3&lt;='Other Initiatives'!$F$8+'Other Initiatives'!$F$14-1)),'Other Initiatives'!$F$12*Assumptions!$B$62,0)</f>
        <v>0</v>
      </c>
      <c r="P96" s="35" t="n">
        <f aca="false">IF(AND('Other Initiatives'!$F$7="Yes",P$3&gt;='Other Initiatives'!$F$8,OR('Other Initiatives'!$F$14=0,P$3&lt;='Other Initiatives'!$F$8+'Other Initiatives'!$F$14-1)),'Other Initiatives'!$F$12*Assumptions!$B$62,0)</f>
        <v>0</v>
      </c>
      <c r="Q96" s="35" t="n">
        <f aca="false">IF(AND('Other Initiatives'!$F$7="Yes",Q$3&gt;='Other Initiatives'!$F$8,OR('Other Initiatives'!$F$14=0,Q$3&lt;='Other Initiatives'!$F$8+'Other Initiatives'!$F$14-1)),'Other Initiatives'!$F$12*Assumptions!$B$62,0)</f>
        <v>0</v>
      </c>
      <c r="R96" s="35" t="n">
        <f aca="false">IF(AND('Other Initiatives'!$F$7="Yes",R$3&gt;='Other Initiatives'!$F$8,OR('Other Initiatives'!$F$14=0,R$3&lt;='Other Initiatives'!$F$8+'Other Initiatives'!$F$14-1)),'Other Initiatives'!$F$12*Assumptions!$B$62,0)</f>
        <v>0</v>
      </c>
      <c r="S96" s="35" t="n">
        <f aca="false">IF(AND('Other Initiatives'!$F$7="Yes",S$3&gt;='Other Initiatives'!$F$8,OR('Other Initiatives'!$F$14=0,S$3&lt;='Other Initiatives'!$F$8+'Other Initiatives'!$F$14-1)),'Other Initiatives'!$F$12*Assumptions!$B$62,0)</f>
        <v>0</v>
      </c>
      <c r="T96" s="35" t="n">
        <f aca="false">IF(AND('Other Initiatives'!$F$7="Yes",T$3&gt;='Other Initiatives'!$F$8,OR('Other Initiatives'!$F$14=0,T$3&lt;='Other Initiatives'!$F$8+'Other Initiatives'!$F$14-1)),'Other Initiatives'!$F$12*Assumptions!$B$62,0)</f>
        <v>0</v>
      </c>
      <c r="U96" s="35" t="n">
        <f aca="false">IF(AND('Other Initiatives'!$F$7="Yes",U$3&gt;='Other Initiatives'!$F$8,OR('Other Initiatives'!$F$14=0,U$3&lt;='Other Initiatives'!$F$8+'Other Initiatives'!$F$14-1)),'Other Initiatives'!$F$12*Assumptions!$B$62,0)</f>
        <v>0</v>
      </c>
      <c r="V96" s="35" t="n">
        <f aca="false">IF(AND('Other Initiatives'!$F$7="Yes",V$3&gt;='Other Initiatives'!$F$8,OR('Other Initiatives'!$F$14=0,V$3&lt;='Other Initiatives'!$F$8+'Other Initiatives'!$F$14-1)),'Other Initiatives'!$F$12*Assumptions!$B$62,0)</f>
        <v>0</v>
      </c>
      <c r="W96" s="35" t="n">
        <f aca="false">IF(AND('Other Initiatives'!$F$7="Yes",W$3&gt;='Other Initiatives'!$F$8,OR('Other Initiatives'!$F$14=0,W$3&lt;='Other Initiatives'!$F$8+'Other Initiatives'!$F$14-1)),'Other Initiatives'!$F$12*Assumptions!$B$62,0)</f>
        <v>0</v>
      </c>
      <c r="X96" s="35" t="n">
        <f aca="false">IF(AND('Other Initiatives'!$F$7="Yes",X$3&gt;='Other Initiatives'!$F$8,OR('Other Initiatives'!$F$14=0,X$3&lt;='Other Initiatives'!$F$8+'Other Initiatives'!$F$14-1)),'Other Initiatives'!$F$12*Assumptions!$B$62,0)</f>
        <v>0</v>
      </c>
      <c r="Y96" s="35" t="n">
        <f aca="false">IF(AND('Other Initiatives'!$F$7="Yes",Y$3&gt;='Other Initiatives'!$F$8,OR('Other Initiatives'!$F$14=0,Y$3&lt;='Other Initiatives'!$F$8+'Other Initiatives'!$F$14-1)),'Other Initiatives'!$F$12*Assumptions!$B$62,0)</f>
        <v>0</v>
      </c>
      <c r="Z96" s="35" t="n">
        <f aca="false">IF(AND('Other Initiatives'!$F$7="Yes",Z$3&gt;='Other Initiatives'!$F$8,OR('Other Initiatives'!$F$14=0,Z$3&lt;='Other Initiatives'!$F$8+'Other Initiatives'!$F$14-1)),'Other Initiatives'!$F$12*Assumptions!$B$62,0)</f>
        <v>0</v>
      </c>
    </row>
    <row r="97" customFormat="false" ht="15" hidden="false" customHeight="false" outlineLevel="0" collapsed="false">
      <c r="A97" s="11" t="s">
        <v>441</v>
      </c>
      <c r="C97" s="35" t="n">
        <f aca="false">IF(AND('Other Initiatives'!$F$7="Yes",C$3&gt;='Other Initiatives'!$F$8),'Other Initiatives'!$F$21/12*MIN(1,(C$3-'Other Initiatives'!$F$8+1)/MAX(1,'Other Initiatives'!$F$22))*Assumptions!$B$61,0)</f>
        <v>0</v>
      </c>
      <c r="D97" s="35" t="n">
        <f aca="false">IF(AND('Other Initiatives'!$F$7="Yes",D$3&gt;='Other Initiatives'!$F$8),'Other Initiatives'!$F$21/12*MIN(1,(D$3-'Other Initiatives'!$F$8+1)/MAX(1,'Other Initiatives'!$F$22))*Assumptions!$B$61,0)</f>
        <v>0</v>
      </c>
      <c r="E97" s="35" t="n">
        <f aca="false">IF(AND('Other Initiatives'!$F$7="Yes",E$3&gt;='Other Initiatives'!$F$8),'Other Initiatives'!$F$21/12*MIN(1,(E$3-'Other Initiatives'!$F$8+1)/MAX(1,'Other Initiatives'!$F$22))*Assumptions!$B$61,0)</f>
        <v>0</v>
      </c>
      <c r="F97" s="35" t="n">
        <f aca="false">IF(AND('Other Initiatives'!$F$7="Yes",F$3&gt;='Other Initiatives'!$F$8),'Other Initiatives'!$F$21/12*MIN(1,(F$3-'Other Initiatives'!$F$8+1)/MAX(1,'Other Initiatives'!$F$22))*Assumptions!$B$61,0)</f>
        <v>0</v>
      </c>
      <c r="G97" s="35" t="n">
        <f aca="false">IF(AND('Other Initiatives'!$F$7="Yes",G$3&gt;='Other Initiatives'!$F$8),'Other Initiatives'!$F$21/12*MIN(1,(G$3-'Other Initiatives'!$F$8+1)/MAX(1,'Other Initiatives'!$F$22))*Assumptions!$B$61,0)</f>
        <v>0</v>
      </c>
      <c r="H97" s="35" t="n">
        <f aca="false">IF(AND('Other Initiatives'!$F$7="Yes",H$3&gt;='Other Initiatives'!$F$8),'Other Initiatives'!$F$21/12*MIN(1,(H$3-'Other Initiatives'!$F$8+1)/MAX(1,'Other Initiatives'!$F$22))*Assumptions!$B$61,0)</f>
        <v>0</v>
      </c>
      <c r="I97" s="35" t="n">
        <f aca="false">IF(AND('Other Initiatives'!$F$7="Yes",I$3&gt;='Other Initiatives'!$F$8),'Other Initiatives'!$F$21/12*MIN(1,(I$3-'Other Initiatives'!$F$8+1)/MAX(1,'Other Initiatives'!$F$22))*Assumptions!$B$61,0)</f>
        <v>0</v>
      </c>
      <c r="J97" s="35" t="n">
        <f aca="false">IF(AND('Other Initiatives'!$F$7="Yes",J$3&gt;='Other Initiatives'!$F$8),'Other Initiatives'!$F$21/12*MIN(1,(J$3-'Other Initiatives'!$F$8+1)/MAX(1,'Other Initiatives'!$F$22))*Assumptions!$B$61,0)</f>
        <v>0</v>
      </c>
      <c r="K97" s="35" t="n">
        <f aca="false">IF(AND('Other Initiatives'!$F$7="Yes",K$3&gt;='Other Initiatives'!$F$8),'Other Initiatives'!$F$21/12*MIN(1,(K$3-'Other Initiatives'!$F$8+1)/MAX(1,'Other Initiatives'!$F$22))*Assumptions!$B$61,0)</f>
        <v>0</v>
      </c>
      <c r="L97" s="35" t="n">
        <f aca="false">IF(AND('Other Initiatives'!$F$7="Yes",L$3&gt;='Other Initiatives'!$F$8),'Other Initiatives'!$F$21/12*MIN(1,(L$3-'Other Initiatives'!$F$8+1)/MAX(1,'Other Initiatives'!$F$22))*Assumptions!$B$61,0)</f>
        <v>0</v>
      </c>
      <c r="M97" s="35" t="n">
        <f aca="false">IF(AND('Other Initiatives'!$F$7="Yes",M$3&gt;='Other Initiatives'!$F$8),'Other Initiatives'!$F$21/12*MIN(1,(M$3-'Other Initiatives'!$F$8+1)/MAX(1,'Other Initiatives'!$F$22))*Assumptions!$B$61,0)</f>
        <v>0</v>
      </c>
      <c r="N97" s="35" t="n">
        <f aca="false">IF(AND('Other Initiatives'!$F$7="Yes",N$3&gt;='Other Initiatives'!$F$8),'Other Initiatives'!$F$21/12*MIN(1,(N$3-'Other Initiatives'!$F$8+1)/MAX(1,'Other Initiatives'!$F$22))*Assumptions!$B$61,0)</f>
        <v>0</v>
      </c>
      <c r="O97" s="35" t="n">
        <f aca="false">IF(AND('Other Initiatives'!$F$7="Yes",O$3&gt;='Other Initiatives'!$F$8),'Other Initiatives'!$F$21/12*MIN(1,(O$3-'Other Initiatives'!$F$8+1)/MAX(1,'Other Initiatives'!$F$22))*Assumptions!$B$61,0)</f>
        <v>0</v>
      </c>
      <c r="P97" s="35" t="n">
        <f aca="false">IF(AND('Other Initiatives'!$F$7="Yes",P$3&gt;='Other Initiatives'!$F$8),'Other Initiatives'!$F$21/12*MIN(1,(P$3-'Other Initiatives'!$F$8+1)/MAX(1,'Other Initiatives'!$F$22))*Assumptions!$B$61,0)</f>
        <v>0</v>
      </c>
      <c r="Q97" s="35" t="n">
        <f aca="false">IF(AND('Other Initiatives'!$F$7="Yes",Q$3&gt;='Other Initiatives'!$F$8),'Other Initiatives'!$F$21/12*MIN(1,(Q$3-'Other Initiatives'!$F$8+1)/MAX(1,'Other Initiatives'!$F$22))*Assumptions!$B$61,0)</f>
        <v>0</v>
      </c>
      <c r="R97" s="35" t="n">
        <f aca="false">IF(AND('Other Initiatives'!$F$7="Yes",R$3&gt;='Other Initiatives'!$F$8),'Other Initiatives'!$F$21/12*MIN(1,(R$3-'Other Initiatives'!$F$8+1)/MAX(1,'Other Initiatives'!$F$22))*Assumptions!$B$61,0)</f>
        <v>0</v>
      </c>
      <c r="S97" s="35" t="n">
        <f aca="false">IF(AND('Other Initiatives'!$F$7="Yes",S$3&gt;='Other Initiatives'!$F$8),'Other Initiatives'!$F$21/12*MIN(1,(S$3-'Other Initiatives'!$F$8+1)/MAX(1,'Other Initiatives'!$F$22))*Assumptions!$B$61,0)</f>
        <v>0</v>
      </c>
      <c r="T97" s="35" t="n">
        <f aca="false">IF(AND('Other Initiatives'!$F$7="Yes",T$3&gt;='Other Initiatives'!$F$8),'Other Initiatives'!$F$21/12*MIN(1,(T$3-'Other Initiatives'!$F$8+1)/MAX(1,'Other Initiatives'!$F$22))*Assumptions!$B$61,0)</f>
        <v>0</v>
      </c>
      <c r="U97" s="35" t="n">
        <f aca="false">IF(AND('Other Initiatives'!$F$7="Yes",U$3&gt;='Other Initiatives'!$F$8),'Other Initiatives'!$F$21/12*MIN(1,(U$3-'Other Initiatives'!$F$8+1)/MAX(1,'Other Initiatives'!$F$22))*Assumptions!$B$61,0)</f>
        <v>0</v>
      </c>
      <c r="V97" s="35" t="n">
        <f aca="false">IF(AND('Other Initiatives'!$F$7="Yes",V$3&gt;='Other Initiatives'!$F$8),'Other Initiatives'!$F$21/12*MIN(1,(V$3-'Other Initiatives'!$F$8+1)/MAX(1,'Other Initiatives'!$F$22))*Assumptions!$B$61,0)</f>
        <v>0</v>
      </c>
      <c r="W97" s="35" t="n">
        <f aca="false">IF(AND('Other Initiatives'!$F$7="Yes",W$3&gt;='Other Initiatives'!$F$8),'Other Initiatives'!$F$21/12*MIN(1,(W$3-'Other Initiatives'!$F$8+1)/MAX(1,'Other Initiatives'!$F$22))*Assumptions!$B$61,0)</f>
        <v>0</v>
      </c>
      <c r="X97" s="35" t="n">
        <f aca="false">IF(AND('Other Initiatives'!$F$7="Yes",X$3&gt;='Other Initiatives'!$F$8),'Other Initiatives'!$F$21/12*MIN(1,(X$3-'Other Initiatives'!$F$8+1)/MAX(1,'Other Initiatives'!$F$22))*Assumptions!$B$61,0)</f>
        <v>0</v>
      </c>
      <c r="Y97" s="35" t="n">
        <f aca="false">IF(AND('Other Initiatives'!$F$7="Yes",Y$3&gt;='Other Initiatives'!$F$8),'Other Initiatives'!$F$21/12*MIN(1,(Y$3-'Other Initiatives'!$F$8+1)/MAX(1,'Other Initiatives'!$F$22))*Assumptions!$B$61,0)</f>
        <v>0</v>
      </c>
      <c r="Z97" s="35" t="n">
        <f aca="false">IF(AND('Other Initiatives'!$F$7="Yes",Z$3&gt;='Other Initiatives'!$F$8),'Other Initiatives'!$F$21/12*MIN(1,(Z$3-'Other Initiatives'!$F$8+1)/MAX(1,'Other Initiatives'!$F$22))*Assumptions!$B$61,0)</f>
        <v>0</v>
      </c>
    </row>
    <row r="98" customFormat="false" ht="15" hidden="false" customHeight="false" outlineLevel="0" collapsed="false">
      <c r="A98" s="36" t="s">
        <v>442</v>
      </c>
      <c r="C98" s="37" t="n">
        <f aca="false">C97-C95-C96</f>
        <v>0</v>
      </c>
      <c r="D98" s="37" t="n">
        <f aca="false">D97-D95-D96</f>
        <v>0</v>
      </c>
      <c r="E98" s="37" t="n">
        <f aca="false">E97-E95-E96</f>
        <v>0</v>
      </c>
      <c r="F98" s="37" t="n">
        <f aca="false">F97-F95-F96</f>
        <v>0</v>
      </c>
      <c r="G98" s="37" t="n">
        <f aca="false">G97-G95-G96</f>
        <v>0</v>
      </c>
      <c r="H98" s="37" t="n">
        <f aca="false">H97-H95-H96</f>
        <v>0</v>
      </c>
      <c r="I98" s="37" t="n">
        <f aca="false">I97-I95-I96</f>
        <v>0</v>
      </c>
      <c r="J98" s="37" t="n">
        <f aca="false">J97-J95-J96</f>
        <v>0</v>
      </c>
      <c r="K98" s="37" t="n">
        <f aca="false">K97-K95-K96</f>
        <v>0</v>
      </c>
      <c r="L98" s="37" t="n">
        <f aca="false">L97-L95-L96</f>
        <v>0</v>
      </c>
      <c r="M98" s="37" t="n">
        <f aca="false">M97-M95-M96</f>
        <v>0</v>
      </c>
      <c r="N98" s="37" t="n">
        <f aca="false">N97-N95-N96</f>
        <v>0</v>
      </c>
      <c r="O98" s="37" t="n">
        <f aca="false">O97-O95-O96</f>
        <v>0</v>
      </c>
      <c r="P98" s="37" t="n">
        <f aca="false">P97-P95-P96</f>
        <v>0</v>
      </c>
      <c r="Q98" s="37" t="n">
        <f aca="false">Q97-Q95-Q96</f>
        <v>0</v>
      </c>
      <c r="R98" s="37" t="n">
        <f aca="false">R97-R95-R96</f>
        <v>0</v>
      </c>
      <c r="S98" s="37" t="n">
        <f aca="false">S97-S95-S96</f>
        <v>0</v>
      </c>
      <c r="T98" s="37" t="n">
        <f aca="false">T97-T95-T96</f>
        <v>0</v>
      </c>
      <c r="U98" s="37" t="n">
        <f aca="false">U97-U95-U96</f>
        <v>0</v>
      </c>
      <c r="V98" s="37" t="n">
        <f aca="false">V97-V95-V96</f>
        <v>0</v>
      </c>
      <c r="W98" s="37" t="n">
        <f aca="false">W97-W95-W96</f>
        <v>0</v>
      </c>
      <c r="X98" s="37" t="n">
        <f aca="false">X97-X95-X96</f>
        <v>0</v>
      </c>
      <c r="Y98" s="37" t="n">
        <f aca="false">Y97-Y95-Y96</f>
        <v>0</v>
      </c>
      <c r="Z98" s="37" t="n">
        <f aca="false">Z97-Z95-Z96</f>
        <v>0</v>
      </c>
    </row>
    <row r="99" customFormat="false" ht="15" hidden="false" customHeight="false" outlineLevel="0" collapsed="false">
      <c r="A99" s="6" t="s">
        <v>443</v>
      </c>
      <c r="C99" s="37" t="n">
        <f aca="false">C83+C84+C87+C88+C91+C92+C95+C96</f>
        <v>0</v>
      </c>
      <c r="D99" s="37" t="n">
        <f aca="false">D83+D84+D87+D88+D91+D92+D95+D96</f>
        <v>0</v>
      </c>
      <c r="E99" s="37" t="n">
        <f aca="false">E83+E84+E87+E88+E91+E92+E95+E96</f>
        <v>0</v>
      </c>
      <c r="F99" s="37" t="n">
        <f aca="false">F83+F84+F87+F88+F91+F92+F95+F96</f>
        <v>0</v>
      </c>
      <c r="G99" s="37" t="n">
        <f aca="false">G83+G84+G87+G88+G91+G92+G95+G96</f>
        <v>0</v>
      </c>
      <c r="H99" s="37" t="n">
        <f aca="false">H83+H84+H87+H88+H91+H92+H95+H96</f>
        <v>0</v>
      </c>
      <c r="I99" s="37" t="n">
        <f aca="false">I83+I84+I87+I88+I91+I92+I95+I96</f>
        <v>0</v>
      </c>
      <c r="J99" s="37" t="n">
        <f aca="false">J83+J84+J87+J88+J91+J92+J95+J96</f>
        <v>0</v>
      </c>
      <c r="K99" s="37" t="n">
        <f aca="false">K83+K84+K87+K88+K91+K92+K95+K96</f>
        <v>0</v>
      </c>
      <c r="L99" s="37" t="n">
        <f aca="false">L83+L84+L87+L88+L91+L92+L95+L96</f>
        <v>0</v>
      </c>
      <c r="M99" s="37" t="n">
        <f aca="false">M83+M84+M87+M88+M91+M92+M95+M96</f>
        <v>0</v>
      </c>
      <c r="N99" s="37" t="n">
        <f aca="false">N83+N84+N87+N88+N91+N92+N95+N96</f>
        <v>0</v>
      </c>
      <c r="O99" s="37" t="n">
        <f aca="false">O83+O84+O87+O88+O91+O92+O95+O96</f>
        <v>0</v>
      </c>
      <c r="P99" s="37" t="n">
        <f aca="false">P83+P84+P87+P88+P91+P92+P95+P96</f>
        <v>0</v>
      </c>
      <c r="Q99" s="37" t="n">
        <f aca="false">Q83+Q84+Q87+Q88+Q91+Q92+Q95+Q96</f>
        <v>0</v>
      </c>
      <c r="R99" s="37" t="n">
        <f aca="false">R83+R84+R87+R88+R91+R92+R95+R96</f>
        <v>0</v>
      </c>
      <c r="S99" s="37" t="n">
        <f aca="false">S83+S84+S87+S88+S91+S92+S95+S96</f>
        <v>0</v>
      </c>
      <c r="T99" s="37" t="n">
        <f aca="false">T83+T84+T87+T88+T91+T92+T95+T96</f>
        <v>0</v>
      </c>
      <c r="U99" s="37" t="n">
        <f aca="false">U83+U84+U87+U88+U91+U92+U95+U96</f>
        <v>0</v>
      </c>
      <c r="V99" s="37" t="n">
        <f aca="false">V83+V84+V87+V88+V91+V92+V95+V96</f>
        <v>0</v>
      </c>
      <c r="W99" s="37" t="n">
        <f aca="false">W83+W84+W87+W88+W91+W92+W95+W96</f>
        <v>0</v>
      </c>
      <c r="X99" s="37" t="n">
        <f aca="false">X83+X84+X87+X88+X91+X92+X95+X96</f>
        <v>0</v>
      </c>
      <c r="Y99" s="37" t="n">
        <f aca="false">Y83+Y84+Y87+Y88+Y91+Y92+Y95+Y96</f>
        <v>0</v>
      </c>
      <c r="Z99" s="37" t="n">
        <f aca="false">Z83+Z84+Z87+Z88+Z91+Z92+Z95+Z96</f>
        <v>0</v>
      </c>
    </row>
    <row r="100" customFormat="false" ht="15" hidden="false" customHeight="false" outlineLevel="0" collapsed="false">
      <c r="A100" s="6" t="s">
        <v>444</v>
      </c>
      <c r="C100" s="37" t="n">
        <f aca="false">C85+C89+C93+C97</f>
        <v>0</v>
      </c>
      <c r="D100" s="37" t="n">
        <f aca="false">D85+D89+D93+D97</f>
        <v>0</v>
      </c>
      <c r="E100" s="37" t="n">
        <f aca="false">E85+E89+E93+E97</f>
        <v>0</v>
      </c>
      <c r="F100" s="37" t="n">
        <f aca="false">F85+F89+F93+F97</f>
        <v>0</v>
      </c>
      <c r="G100" s="37" t="n">
        <f aca="false">G85+G89+G93+G97</f>
        <v>0</v>
      </c>
      <c r="H100" s="37" t="n">
        <f aca="false">H85+H89+H93+H97</f>
        <v>0</v>
      </c>
      <c r="I100" s="37" t="n">
        <f aca="false">I85+I89+I93+I97</f>
        <v>0</v>
      </c>
      <c r="J100" s="37" t="n">
        <f aca="false">J85+J89+J93+J97</f>
        <v>0</v>
      </c>
      <c r="K100" s="37" t="n">
        <f aca="false">K85+K89+K93+K97</f>
        <v>0</v>
      </c>
      <c r="L100" s="37" t="n">
        <f aca="false">L85+L89+L93+L97</f>
        <v>0</v>
      </c>
      <c r="M100" s="37" t="n">
        <f aca="false">M85+M89+M93+M97</f>
        <v>0</v>
      </c>
      <c r="N100" s="37" t="n">
        <f aca="false">N85+N89+N93+N97</f>
        <v>0</v>
      </c>
      <c r="O100" s="37" t="n">
        <f aca="false">O85+O89+O93+O97</f>
        <v>0</v>
      </c>
      <c r="P100" s="37" t="n">
        <f aca="false">P85+P89+P93+P97</f>
        <v>0</v>
      </c>
      <c r="Q100" s="37" t="n">
        <f aca="false">Q85+Q89+Q93+Q97</f>
        <v>0</v>
      </c>
      <c r="R100" s="37" t="n">
        <f aca="false">R85+R89+R93+R97</f>
        <v>0</v>
      </c>
      <c r="S100" s="37" t="n">
        <f aca="false">S85+S89+S93+S97</f>
        <v>0</v>
      </c>
      <c r="T100" s="37" t="n">
        <f aca="false">T85+T89+T93+T97</f>
        <v>0</v>
      </c>
      <c r="U100" s="37" t="n">
        <f aca="false">U85+U89+U93+U97</f>
        <v>0</v>
      </c>
      <c r="V100" s="37" t="n">
        <f aca="false">V85+V89+V93+V97</f>
        <v>0</v>
      </c>
      <c r="W100" s="37" t="n">
        <f aca="false">W85+W89+W93+W97</f>
        <v>0</v>
      </c>
      <c r="X100" s="37" t="n">
        <f aca="false">X85+X89+X93+X97</f>
        <v>0</v>
      </c>
      <c r="Y100" s="37" t="n">
        <f aca="false">Y85+Y89+Y93+Y97</f>
        <v>0</v>
      </c>
      <c r="Z100" s="37" t="n">
        <f aca="false">Z85+Z89+Z93+Z97</f>
        <v>0</v>
      </c>
    </row>
    <row r="101" customFormat="false" ht="15" hidden="false" customHeight="false" outlineLevel="0" collapsed="false">
      <c r="A101" s="6" t="s">
        <v>445</v>
      </c>
      <c r="C101" s="37" t="n">
        <f aca="false">C100-C99</f>
        <v>0</v>
      </c>
      <c r="D101" s="37" t="n">
        <f aca="false">D100-D99</f>
        <v>0</v>
      </c>
      <c r="E101" s="37" t="n">
        <f aca="false">E100-E99</f>
        <v>0</v>
      </c>
      <c r="F101" s="37" t="n">
        <f aca="false">F100-F99</f>
        <v>0</v>
      </c>
      <c r="G101" s="37" t="n">
        <f aca="false">G100-G99</f>
        <v>0</v>
      </c>
      <c r="H101" s="37" t="n">
        <f aca="false">H100-H99</f>
        <v>0</v>
      </c>
      <c r="I101" s="37" t="n">
        <f aca="false">I100-I99</f>
        <v>0</v>
      </c>
      <c r="J101" s="37" t="n">
        <f aca="false">J100-J99</f>
        <v>0</v>
      </c>
      <c r="K101" s="37" t="n">
        <f aca="false">K100-K99</f>
        <v>0</v>
      </c>
      <c r="L101" s="37" t="n">
        <f aca="false">L100-L99</f>
        <v>0</v>
      </c>
      <c r="M101" s="37" t="n">
        <f aca="false">M100-M99</f>
        <v>0</v>
      </c>
      <c r="N101" s="37" t="n">
        <f aca="false">N100-N99</f>
        <v>0</v>
      </c>
      <c r="O101" s="37" t="n">
        <f aca="false">O100-O99</f>
        <v>0</v>
      </c>
      <c r="P101" s="37" t="n">
        <f aca="false">P100-P99</f>
        <v>0</v>
      </c>
      <c r="Q101" s="37" t="n">
        <f aca="false">Q100-Q99</f>
        <v>0</v>
      </c>
      <c r="R101" s="37" t="n">
        <f aca="false">R100-R99</f>
        <v>0</v>
      </c>
      <c r="S101" s="37" t="n">
        <f aca="false">S100-S99</f>
        <v>0</v>
      </c>
      <c r="T101" s="37" t="n">
        <f aca="false">T100-T99</f>
        <v>0</v>
      </c>
      <c r="U101" s="37" t="n">
        <f aca="false">U100-U99</f>
        <v>0</v>
      </c>
      <c r="V101" s="37" t="n">
        <f aca="false">V100-V99</f>
        <v>0</v>
      </c>
      <c r="W101" s="37" t="n">
        <f aca="false">W100-W99</f>
        <v>0</v>
      </c>
      <c r="X101" s="37" t="n">
        <f aca="false">X100-X99</f>
        <v>0</v>
      </c>
      <c r="Y101" s="37" t="n">
        <f aca="false">Y100-Y99</f>
        <v>0</v>
      </c>
      <c r="Z101" s="37" t="n">
        <f aca="false">Z100-Z99</f>
        <v>0</v>
      </c>
    </row>
    <row r="103" customFormat="false" ht="15" hidden="false" customHeight="false" outlineLevel="0" collapsed="false">
      <c r="A103" s="4" t="s">
        <v>446</v>
      </c>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customFormat="false" ht="15" hidden="false" customHeight="false" outlineLevel="0" collapsed="false">
      <c r="A104" s="6" t="s">
        <v>447</v>
      </c>
      <c r="C104" s="37" t="n">
        <f aca="false">C33+C80+C101</f>
        <v>0</v>
      </c>
      <c r="D104" s="37" t="n">
        <f aca="false">D33+D80+D101</f>
        <v>-29911.8819444444</v>
      </c>
      <c r="E104" s="37" t="n">
        <f aca="false">E33+E80+E101</f>
        <v>-214501.326388889</v>
      </c>
      <c r="F104" s="37" t="n">
        <f aca="false">F33+F80+F101</f>
        <v>2899.22916666667</v>
      </c>
      <c r="G104" s="37" t="n">
        <f aca="false">G33+G80+G101</f>
        <v>8779.78472222222</v>
      </c>
      <c r="H104" s="37" t="n">
        <f aca="false">H33+H80+H101</f>
        <v>14660.3402777778</v>
      </c>
      <c r="I104" s="37" t="n">
        <f aca="false">I33+I80+I101</f>
        <v>17290.8958333333</v>
      </c>
      <c r="J104" s="37" t="n">
        <f aca="false">J33+J80+J101</f>
        <v>17290.8958333333</v>
      </c>
      <c r="K104" s="37" t="n">
        <f aca="false">K33+K80+K101</f>
        <v>17290.8958333333</v>
      </c>
      <c r="L104" s="37" t="n">
        <f aca="false">L33+L80+L101</f>
        <v>17290.8958333333</v>
      </c>
      <c r="M104" s="37" t="n">
        <f aca="false">M33+M80+M101</f>
        <v>17290.8958333333</v>
      </c>
      <c r="N104" s="37" t="n">
        <f aca="false">N33+N80+N101</f>
        <v>17290.8958333333</v>
      </c>
      <c r="O104" s="37" t="n">
        <f aca="false">O33+O80+O101</f>
        <v>17290.8958333333</v>
      </c>
      <c r="P104" s="37" t="n">
        <f aca="false">P33+P80+P101</f>
        <v>17290.8958333333</v>
      </c>
      <c r="Q104" s="37" t="n">
        <f aca="false">Q33+Q80+Q101</f>
        <v>17290.8958333333</v>
      </c>
      <c r="R104" s="37" t="n">
        <f aca="false">R33+R80+R101</f>
        <v>17290.8958333333</v>
      </c>
      <c r="S104" s="37" t="n">
        <f aca="false">S33+S80+S101</f>
        <v>17290.8958333333</v>
      </c>
      <c r="T104" s="37" t="n">
        <f aca="false">T33+T80+T101</f>
        <v>17290.8958333333</v>
      </c>
      <c r="U104" s="37" t="n">
        <f aca="false">U33+U80+U101</f>
        <v>17290.8958333333</v>
      </c>
      <c r="V104" s="37" t="n">
        <f aca="false">V33+V80+V101</f>
        <v>17290.8958333333</v>
      </c>
      <c r="W104" s="37" t="n">
        <f aca="false">W33+W80+W101</f>
        <v>17290.8958333333</v>
      </c>
      <c r="X104" s="37" t="n">
        <f aca="false">X33+X80+X101</f>
        <v>17290.8958333333</v>
      </c>
      <c r="Y104" s="37" t="n">
        <f aca="false">Y33+Y80+Y101</f>
        <v>17290.8958333333</v>
      </c>
      <c r="Z104" s="37" t="n">
        <f aca="false">Z33+Z80+Z101</f>
        <v>17290.8958333333</v>
      </c>
    </row>
    <row r="105" customFormat="false" ht="15" hidden="false" customHeight="false" outlineLevel="0" collapsed="false">
      <c r="A105" s="6" t="s">
        <v>448</v>
      </c>
      <c r="C105" s="37" t="n">
        <f aca="false">C104</f>
        <v>0</v>
      </c>
      <c r="D105" s="37" t="n">
        <f aca="false">C105+D104</f>
        <v>-29911.8819444444</v>
      </c>
      <c r="E105" s="37" t="n">
        <f aca="false">D105+E104</f>
        <v>-244413.208333333</v>
      </c>
      <c r="F105" s="37" t="n">
        <f aca="false">E105+F104</f>
        <v>-241513.979166667</v>
      </c>
      <c r="G105" s="37" t="n">
        <f aca="false">F105+G104</f>
        <v>-232734.194444444</v>
      </c>
      <c r="H105" s="37" t="n">
        <f aca="false">G105+H104</f>
        <v>-218073.854166667</v>
      </c>
      <c r="I105" s="37" t="n">
        <f aca="false">H105+I104</f>
        <v>-200782.958333333</v>
      </c>
      <c r="J105" s="37" t="n">
        <f aca="false">I105+J104</f>
        <v>-183492.0625</v>
      </c>
      <c r="K105" s="37" t="n">
        <f aca="false">J105+K104</f>
        <v>-166201.166666667</v>
      </c>
      <c r="L105" s="37" t="n">
        <f aca="false">K105+L104</f>
        <v>-148910.270833333</v>
      </c>
      <c r="M105" s="37" t="n">
        <f aca="false">L105+M104</f>
        <v>-131619.375</v>
      </c>
      <c r="N105" s="37" t="n">
        <f aca="false">M105+N104</f>
        <v>-114328.479166667</v>
      </c>
      <c r="O105" s="37" t="n">
        <f aca="false">N105+O104</f>
        <v>-97037.5833333333</v>
      </c>
      <c r="P105" s="37" t="n">
        <f aca="false">O105+P104</f>
        <v>-79746.6874999999</v>
      </c>
      <c r="Q105" s="37" t="n">
        <f aca="false">P105+Q104</f>
        <v>-62455.7916666666</v>
      </c>
      <c r="R105" s="37" t="n">
        <f aca="false">Q105+R104</f>
        <v>-45164.8958333332</v>
      </c>
      <c r="S105" s="37" t="n">
        <f aca="false">R105+S104</f>
        <v>-27873.9999999999</v>
      </c>
      <c r="T105" s="37" t="n">
        <f aca="false">S105+T104</f>
        <v>-10583.1041666666</v>
      </c>
      <c r="U105" s="37" t="n">
        <f aca="false">T105+U104</f>
        <v>6707.79166666677</v>
      </c>
      <c r="V105" s="37" t="n">
        <f aca="false">U105+V104</f>
        <v>23998.6875000001</v>
      </c>
      <c r="W105" s="37" t="n">
        <f aca="false">V105+W104</f>
        <v>41289.5833333334</v>
      </c>
      <c r="X105" s="37" t="n">
        <f aca="false">W105+X104</f>
        <v>58580.4791666668</v>
      </c>
      <c r="Y105" s="37" t="n">
        <f aca="false">X105+Y104</f>
        <v>75871.3750000001</v>
      </c>
      <c r="Z105" s="37" t="n">
        <f aca="false">Y105+Z104</f>
        <v>93162.2708333335</v>
      </c>
    </row>
    <row r="106" customFormat="false" ht="15" hidden="false" customHeight="false" outlineLevel="0" collapsed="false">
      <c r="A106" s="11" t="s">
        <v>449</v>
      </c>
      <c r="C106" s="35" t="n">
        <f aca="false">C32+C78+C100</f>
        <v>0</v>
      </c>
      <c r="D106" s="35" t="n">
        <f aca="false">D32+D78+D100</f>
        <v>2630.55555555556</v>
      </c>
      <c r="E106" s="35" t="n">
        <f aca="false">E32+E78+E100</f>
        <v>8511.11111111111</v>
      </c>
      <c r="F106" s="35" t="n">
        <f aca="false">F32+F78+F100</f>
        <v>14391.6666666667</v>
      </c>
      <c r="G106" s="35" t="n">
        <f aca="false">G32+G78+G100</f>
        <v>20272.2222222222</v>
      </c>
      <c r="H106" s="35" t="n">
        <f aca="false">H32+H78+H100</f>
        <v>26152.7777777778</v>
      </c>
      <c r="I106" s="35" t="n">
        <f aca="false">I32+I78+I100</f>
        <v>28783.3333333333</v>
      </c>
      <c r="J106" s="35" t="n">
        <f aca="false">J32+J78+J100</f>
        <v>28783.3333333333</v>
      </c>
      <c r="K106" s="35" t="n">
        <f aca="false">K32+K78+K100</f>
        <v>28783.3333333333</v>
      </c>
      <c r="L106" s="35" t="n">
        <f aca="false">L32+L78+L100</f>
        <v>28783.3333333333</v>
      </c>
      <c r="M106" s="35" t="n">
        <f aca="false">M32+M78+M100</f>
        <v>28783.3333333333</v>
      </c>
      <c r="N106" s="35" t="n">
        <f aca="false">N32+N78+N100</f>
        <v>28783.3333333333</v>
      </c>
      <c r="O106" s="35" t="n">
        <f aca="false">O32+O78+O100</f>
        <v>28783.3333333333</v>
      </c>
      <c r="P106" s="35" t="n">
        <f aca="false">P32+P78+P100</f>
        <v>28783.3333333333</v>
      </c>
      <c r="Q106" s="35" t="n">
        <f aca="false">Q32+Q78+Q100</f>
        <v>28783.3333333333</v>
      </c>
      <c r="R106" s="35" t="n">
        <f aca="false">R32+R78+R100</f>
        <v>28783.3333333333</v>
      </c>
      <c r="S106" s="35" t="n">
        <f aca="false">S32+S78+S100</f>
        <v>28783.3333333333</v>
      </c>
      <c r="T106" s="35" t="n">
        <f aca="false">T32+T78+T100</f>
        <v>28783.3333333333</v>
      </c>
      <c r="U106" s="35" t="n">
        <f aca="false">U32+U78+U100</f>
        <v>28783.3333333333</v>
      </c>
      <c r="V106" s="35" t="n">
        <f aca="false">V32+V78+V100</f>
        <v>28783.3333333333</v>
      </c>
      <c r="W106" s="35" t="n">
        <f aca="false">W32+W78+W100</f>
        <v>28783.3333333333</v>
      </c>
      <c r="X106" s="35" t="n">
        <f aca="false">X32+X78+X100</f>
        <v>28783.3333333333</v>
      </c>
      <c r="Y106" s="35" t="n">
        <f aca="false">Y32+Y78+Y100</f>
        <v>28783.3333333333</v>
      </c>
      <c r="Z106" s="35" t="n">
        <f aca="false">Z32+Z78+Z100</f>
        <v>28783.3333333333</v>
      </c>
    </row>
    <row r="107" customFormat="false" ht="15" hidden="false" customHeight="false" outlineLevel="0" collapsed="false">
      <c r="A107" s="11" t="s">
        <v>450</v>
      </c>
      <c r="C107" s="35" t="n">
        <f aca="false">C31+C77+C99</f>
        <v>0</v>
      </c>
      <c r="D107" s="35" t="n">
        <f aca="false">D31+D77+D99</f>
        <v>32542.4375</v>
      </c>
      <c r="E107" s="35" t="n">
        <f aca="false">E31+E77+E99</f>
        <v>11492.4375</v>
      </c>
      <c r="F107" s="35" t="n">
        <f aca="false">F31+F77+F99</f>
        <v>11492.4375</v>
      </c>
      <c r="G107" s="35" t="n">
        <f aca="false">G31+G77+G99</f>
        <v>11492.4375</v>
      </c>
      <c r="H107" s="35" t="n">
        <f aca="false">H31+H77+H99</f>
        <v>11492.4375</v>
      </c>
      <c r="I107" s="35" t="n">
        <f aca="false">I31+I77+I99</f>
        <v>11492.4375</v>
      </c>
      <c r="J107" s="35" t="n">
        <f aca="false">J31+J77+J99</f>
        <v>11492.4375</v>
      </c>
      <c r="K107" s="35" t="n">
        <f aca="false">K31+K77+K99</f>
        <v>11492.4375</v>
      </c>
      <c r="L107" s="35" t="n">
        <f aca="false">L31+L77+L99</f>
        <v>11492.4375</v>
      </c>
      <c r="M107" s="35" t="n">
        <f aca="false">M31+M77+M99</f>
        <v>11492.4375</v>
      </c>
      <c r="N107" s="35" t="n">
        <f aca="false">N31+N77+N99</f>
        <v>11492.4375</v>
      </c>
      <c r="O107" s="35" t="n">
        <f aca="false">O31+O77+O99</f>
        <v>11492.4375</v>
      </c>
      <c r="P107" s="35" t="n">
        <f aca="false">P31+P77+P99</f>
        <v>11492.4375</v>
      </c>
      <c r="Q107" s="35" t="n">
        <f aca="false">Q31+Q77+Q99</f>
        <v>11492.4375</v>
      </c>
      <c r="R107" s="35" t="n">
        <f aca="false">R31+R77+R99</f>
        <v>11492.4375</v>
      </c>
      <c r="S107" s="35" t="n">
        <f aca="false">S31+S77+S99</f>
        <v>11492.4375</v>
      </c>
      <c r="T107" s="35" t="n">
        <f aca="false">T31+T77+T99</f>
        <v>11492.4375</v>
      </c>
      <c r="U107" s="35" t="n">
        <f aca="false">U31+U77+U99</f>
        <v>11492.4375</v>
      </c>
      <c r="V107" s="35" t="n">
        <f aca="false">V31+V77+V99</f>
        <v>11492.4375</v>
      </c>
      <c r="W107" s="35" t="n">
        <f aca="false">W31+W77+W99</f>
        <v>11492.4375</v>
      </c>
      <c r="X107" s="35" t="n">
        <f aca="false">X31+X77+X99</f>
        <v>11492.4375</v>
      </c>
      <c r="Y107" s="35" t="n">
        <f aca="false">Y31+Y77+Y99</f>
        <v>11492.4375</v>
      </c>
      <c r="Z107" s="35" t="n">
        <f aca="false">Z31+Z77+Z99</f>
        <v>11492.4375</v>
      </c>
    </row>
    <row r="108" customFormat="false" ht="15" hidden="false" customHeight="false" outlineLevel="0" collapsed="false">
      <c r="A108" s="11" t="s">
        <v>451</v>
      </c>
      <c r="C108" s="35" t="n">
        <f aca="false">C72+C8+C12+C16+C20+C24+C28+C83+C87+C91+C95</f>
        <v>0</v>
      </c>
      <c r="D108" s="35" t="n">
        <f aca="false">D72+D8+D12+D16+D20+D24+D28+D83+D87+D91+D95</f>
        <v>22500</v>
      </c>
      <c r="E108" s="35" t="n">
        <f aca="false">E72+E8+E12+E16+E20+E24+E28+E83+E87+E91+E95</f>
        <v>42304</v>
      </c>
      <c r="F108" s="35" t="n">
        <f aca="false">F72+F8+F12+F16+F20+F24+F28+F83+F87+F91+F95</f>
        <v>0</v>
      </c>
      <c r="G108" s="35" t="n">
        <f aca="false">G72+G8+G12+G16+G20+G24+G28+G83+G87+G91+G95</f>
        <v>0</v>
      </c>
      <c r="H108" s="35" t="n">
        <f aca="false">H72+H8+H12+H16+H20+H24+H28+H83+H87+H91+H95</f>
        <v>0</v>
      </c>
      <c r="I108" s="35" t="n">
        <f aca="false">I72+I8+I12+I16+I20+I24+I28+I83+I87+I91+I95</f>
        <v>0</v>
      </c>
      <c r="J108" s="35" t="n">
        <f aca="false">J72+J8+J12+J16+J20+J24+J28+J83+J87+J91+J95</f>
        <v>0</v>
      </c>
      <c r="K108" s="35" t="n">
        <f aca="false">K72+K8+K12+K16+K20+K24+K28+K83+K87+K91+K95</f>
        <v>0</v>
      </c>
      <c r="L108" s="35" t="n">
        <f aca="false">L72+L8+L12+L16+L20+L24+L28+L83+L87+L91+L95</f>
        <v>0</v>
      </c>
      <c r="M108" s="35" t="n">
        <f aca="false">M72+M8+M12+M16+M20+M24+M28+M83+M87+M91+M95</f>
        <v>0</v>
      </c>
      <c r="N108" s="35" t="n">
        <f aca="false">N72+N8+N12+N16+N20+N24+N28+N83+N87+N91+N95</f>
        <v>0</v>
      </c>
      <c r="O108" s="35" t="n">
        <f aca="false">O72+O8+O12+O16+O20+O24+O28+O83+O87+O91+O95</f>
        <v>0</v>
      </c>
      <c r="P108" s="35" t="n">
        <f aca="false">P72+P8+P12+P16+P20+P24+P28+P83+P87+P91+P95</f>
        <v>0</v>
      </c>
      <c r="Q108" s="35" t="n">
        <f aca="false">Q72+Q8+Q12+Q16+Q20+Q24+Q28+Q83+Q87+Q91+Q95</f>
        <v>0</v>
      </c>
      <c r="R108" s="35" t="n">
        <f aca="false">R72+R8+R12+R16+R20+R24+R28+R83+R87+R91+R95</f>
        <v>0</v>
      </c>
      <c r="S108" s="35" t="n">
        <f aca="false">S72+S8+S12+S16+S20+S24+S28+S83+S87+S91+S95</f>
        <v>0</v>
      </c>
      <c r="T108" s="35" t="n">
        <f aca="false">T72+T8+T12+T16+T20+T24+T28+T83+T87+T91+T95</f>
        <v>0</v>
      </c>
      <c r="U108" s="35" t="n">
        <f aca="false">U72+U8+U12+U16+U20+U24+U28+U83+U87+U91+U95</f>
        <v>0</v>
      </c>
      <c r="V108" s="35" t="n">
        <f aca="false">V72+V8+V12+V16+V20+V24+V28+V83+V87+V91+V95</f>
        <v>0</v>
      </c>
      <c r="W108" s="35" t="n">
        <f aca="false">W72+W8+W12+W16+W20+W24+W28+W83+W87+W91+W95</f>
        <v>0</v>
      </c>
      <c r="X108" s="35" t="n">
        <f aca="false">X72+X8+X12+X16+X20+X24+X28+X83+X87+X91+X95</f>
        <v>0</v>
      </c>
      <c r="Y108" s="35" t="n">
        <f aca="false">Y72+Y8+Y12+Y16+Y20+Y24+Y28+Y83+Y87+Y91+Y95</f>
        <v>0</v>
      </c>
      <c r="Z108" s="35" t="n">
        <f aca="false">Z72+Z8+Z12+Z16+Z20+Z24+Z28+Z83+Z87+Z91+Z95</f>
        <v>0</v>
      </c>
    </row>
    <row r="109" customFormat="false" ht="15" hidden="false" customHeight="false" outlineLevel="0" collapsed="false">
      <c r="A109" s="4" t="s">
        <v>452</v>
      </c>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customFormat="false" ht="15" hidden="false" customHeight="false" outlineLevel="0" collapsed="false">
      <c r="A110" s="11" t="s">
        <v>453</v>
      </c>
      <c r="C110" s="35" t="n">
        <f aca="false">(C10)*(1-Assumptions!$B$10)</f>
        <v>0</v>
      </c>
      <c r="D110" s="35" t="n">
        <f aca="false">(D10)*(1-Assumptions!$B$10)</f>
        <v>-22433.9114583333</v>
      </c>
      <c r="E110" s="35" t="n">
        <f aca="false">(E10)*(1-Assumptions!$B$10)</f>
        <v>-3585.99479166667</v>
      </c>
      <c r="F110" s="35" t="n">
        <f aca="false">(F10)*(1-Assumptions!$B$10)</f>
        <v>-1613.078125</v>
      </c>
      <c r="G110" s="35" t="n">
        <f aca="false">(G10)*(1-Assumptions!$B$10)</f>
        <v>359.838541666667</v>
      </c>
      <c r="H110" s="35" t="n">
        <f aca="false">(H10)*(1-Assumptions!$B$10)</f>
        <v>2332.75520833333</v>
      </c>
      <c r="I110" s="35" t="n">
        <f aca="false">(I10)*(1-Assumptions!$B$10)</f>
        <v>4305.671875</v>
      </c>
      <c r="J110" s="35" t="n">
        <f aca="false">(J10)*(1-Assumptions!$B$10)</f>
        <v>4305.671875</v>
      </c>
      <c r="K110" s="35" t="n">
        <f aca="false">(K10)*(1-Assumptions!$B$10)</f>
        <v>4305.671875</v>
      </c>
      <c r="L110" s="35" t="n">
        <f aca="false">(L10)*(1-Assumptions!$B$10)</f>
        <v>4305.671875</v>
      </c>
      <c r="M110" s="35" t="n">
        <f aca="false">(M10)*(1-Assumptions!$B$10)</f>
        <v>4305.671875</v>
      </c>
      <c r="N110" s="35" t="n">
        <f aca="false">(N10)*(1-Assumptions!$B$10)</f>
        <v>4305.671875</v>
      </c>
      <c r="O110" s="35" t="n">
        <f aca="false">(O10)*(1-Assumptions!$B$10)</f>
        <v>4305.671875</v>
      </c>
      <c r="P110" s="35" t="n">
        <f aca="false">(P10)*(1-Assumptions!$B$10)</f>
        <v>4305.671875</v>
      </c>
      <c r="Q110" s="35" t="n">
        <f aca="false">(Q10)*(1-Assumptions!$B$10)</f>
        <v>4305.671875</v>
      </c>
      <c r="R110" s="35" t="n">
        <f aca="false">(R10)*(1-Assumptions!$B$10)</f>
        <v>4305.671875</v>
      </c>
      <c r="S110" s="35" t="n">
        <f aca="false">(S10)*(1-Assumptions!$B$10)</f>
        <v>4305.671875</v>
      </c>
      <c r="T110" s="35" t="n">
        <f aca="false">(T10)*(1-Assumptions!$B$10)</f>
        <v>4305.671875</v>
      </c>
      <c r="U110" s="35" t="n">
        <f aca="false">(U10)*(1-Assumptions!$B$10)</f>
        <v>4305.671875</v>
      </c>
      <c r="V110" s="35" t="n">
        <f aca="false">(V10)*(1-Assumptions!$B$10)</f>
        <v>4305.671875</v>
      </c>
      <c r="W110" s="35" t="n">
        <f aca="false">(W10)*(1-Assumptions!$B$10)</f>
        <v>4305.671875</v>
      </c>
      <c r="X110" s="35" t="n">
        <f aca="false">(X10)*(1-Assumptions!$B$10)</f>
        <v>4305.671875</v>
      </c>
      <c r="Y110" s="35" t="n">
        <f aca="false">(Y10)*(1-Assumptions!$B$10)</f>
        <v>4305.671875</v>
      </c>
      <c r="Z110" s="35" t="n">
        <f aca="false">(Z10)*(1-Assumptions!$B$10)</f>
        <v>4305.671875</v>
      </c>
    </row>
    <row r="111" customFormat="false" ht="15" hidden="false" customHeight="false" outlineLevel="0" collapsed="false">
      <c r="A111" s="11" t="s">
        <v>454</v>
      </c>
      <c r="C111" s="35" t="n">
        <f aca="false">(C14)*(1-Assumptions!$B$10)</f>
        <v>0</v>
      </c>
      <c r="D111" s="35" t="n">
        <f aca="false">(D14)*(1-Assumptions!$B$10)</f>
        <v>0</v>
      </c>
      <c r="E111" s="35" t="n">
        <f aca="false">(E14)*(1-Assumptions!$B$10)</f>
        <v>0</v>
      </c>
      <c r="F111" s="35" t="n">
        <f aca="false">(F14)*(1-Assumptions!$B$10)</f>
        <v>0</v>
      </c>
      <c r="G111" s="35" t="n">
        <f aca="false">(G14)*(1-Assumptions!$B$10)</f>
        <v>0</v>
      </c>
      <c r="H111" s="35" t="n">
        <f aca="false">(H14)*(1-Assumptions!$B$10)</f>
        <v>0</v>
      </c>
      <c r="I111" s="35" t="n">
        <f aca="false">(I14)*(1-Assumptions!$B$10)</f>
        <v>0</v>
      </c>
      <c r="J111" s="35" t="n">
        <f aca="false">(J14)*(1-Assumptions!$B$10)</f>
        <v>0</v>
      </c>
      <c r="K111" s="35" t="n">
        <f aca="false">(K14)*(1-Assumptions!$B$10)</f>
        <v>0</v>
      </c>
      <c r="L111" s="35" t="n">
        <f aca="false">(L14)*(1-Assumptions!$B$10)</f>
        <v>0</v>
      </c>
      <c r="M111" s="35" t="n">
        <f aca="false">(M14)*(1-Assumptions!$B$10)</f>
        <v>0</v>
      </c>
      <c r="N111" s="35" t="n">
        <f aca="false">(N14)*(1-Assumptions!$B$10)</f>
        <v>0</v>
      </c>
      <c r="O111" s="35" t="n">
        <f aca="false">(O14)*(1-Assumptions!$B$10)</f>
        <v>0</v>
      </c>
      <c r="P111" s="35" t="n">
        <f aca="false">(P14)*(1-Assumptions!$B$10)</f>
        <v>0</v>
      </c>
      <c r="Q111" s="35" t="n">
        <f aca="false">(Q14)*(1-Assumptions!$B$10)</f>
        <v>0</v>
      </c>
      <c r="R111" s="35" t="n">
        <f aca="false">(R14)*(1-Assumptions!$B$10)</f>
        <v>0</v>
      </c>
      <c r="S111" s="35" t="n">
        <f aca="false">(S14)*(1-Assumptions!$B$10)</f>
        <v>0</v>
      </c>
      <c r="T111" s="35" t="n">
        <f aca="false">(T14)*(1-Assumptions!$B$10)</f>
        <v>0</v>
      </c>
      <c r="U111" s="35" t="n">
        <f aca="false">(U14)*(1-Assumptions!$B$10)</f>
        <v>0</v>
      </c>
      <c r="V111" s="35" t="n">
        <f aca="false">(V14)*(1-Assumptions!$B$10)</f>
        <v>0</v>
      </c>
      <c r="W111" s="35" t="n">
        <f aca="false">(W14)*(1-Assumptions!$B$10)</f>
        <v>0</v>
      </c>
      <c r="X111" s="35" t="n">
        <f aca="false">(X14)*(1-Assumptions!$B$10)</f>
        <v>0</v>
      </c>
      <c r="Y111" s="35" t="n">
        <f aca="false">(Y14)*(1-Assumptions!$B$10)</f>
        <v>0</v>
      </c>
      <c r="Z111" s="35" t="n">
        <f aca="false">(Z14)*(1-Assumptions!$B$10)</f>
        <v>0</v>
      </c>
    </row>
    <row r="112" customFormat="false" ht="15" hidden="false" customHeight="false" outlineLevel="0" collapsed="false">
      <c r="A112" s="11" t="s">
        <v>455</v>
      </c>
      <c r="C112" s="35" t="n">
        <f aca="false">(C18)*(1-Assumptions!$B$10)</f>
        <v>0</v>
      </c>
      <c r="D112" s="35" t="n">
        <f aca="false">(D18)*(1-Assumptions!$B$10)</f>
        <v>0</v>
      </c>
      <c r="E112" s="35" t="n">
        <f aca="false">(E18)*(1-Assumptions!$B$10)</f>
        <v>0</v>
      </c>
      <c r="F112" s="35" t="n">
        <f aca="false">(F18)*(1-Assumptions!$B$10)</f>
        <v>0</v>
      </c>
      <c r="G112" s="35" t="n">
        <f aca="false">(G18)*(1-Assumptions!$B$10)</f>
        <v>0</v>
      </c>
      <c r="H112" s="35" t="n">
        <f aca="false">(H18)*(1-Assumptions!$B$10)</f>
        <v>0</v>
      </c>
      <c r="I112" s="35" t="n">
        <f aca="false">(I18)*(1-Assumptions!$B$10)</f>
        <v>0</v>
      </c>
      <c r="J112" s="35" t="n">
        <f aca="false">(J18)*(1-Assumptions!$B$10)</f>
        <v>0</v>
      </c>
      <c r="K112" s="35" t="n">
        <f aca="false">(K18)*(1-Assumptions!$B$10)</f>
        <v>0</v>
      </c>
      <c r="L112" s="35" t="n">
        <f aca="false">(L18)*(1-Assumptions!$B$10)</f>
        <v>0</v>
      </c>
      <c r="M112" s="35" t="n">
        <f aca="false">(M18)*(1-Assumptions!$B$10)</f>
        <v>0</v>
      </c>
      <c r="N112" s="35" t="n">
        <f aca="false">(N18)*(1-Assumptions!$B$10)</f>
        <v>0</v>
      </c>
      <c r="O112" s="35" t="n">
        <f aca="false">(O18)*(1-Assumptions!$B$10)</f>
        <v>0</v>
      </c>
      <c r="P112" s="35" t="n">
        <f aca="false">(P18)*(1-Assumptions!$B$10)</f>
        <v>0</v>
      </c>
      <c r="Q112" s="35" t="n">
        <f aca="false">(Q18)*(1-Assumptions!$B$10)</f>
        <v>0</v>
      </c>
      <c r="R112" s="35" t="n">
        <f aca="false">(R18)*(1-Assumptions!$B$10)</f>
        <v>0</v>
      </c>
      <c r="S112" s="35" t="n">
        <f aca="false">(S18)*(1-Assumptions!$B$10)</f>
        <v>0</v>
      </c>
      <c r="T112" s="35" t="n">
        <f aca="false">(T18)*(1-Assumptions!$B$10)</f>
        <v>0</v>
      </c>
      <c r="U112" s="35" t="n">
        <f aca="false">(U18)*(1-Assumptions!$B$10)</f>
        <v>0</v>
      </c>
      <c r="V112" s="35" t="n">
        <f aca="false">(V18)*(1-Assumptions!$B$10)</f>
        <v>0</v>
      </c>
      <c r="W112" s="35" t="n">
        <f aca="false">(W18)*(1-Assumptions!$B$10)</f>
        <v>0</v>
      </c>
      <c r="X112" s="35" t="n">
        <f aca="false">(X18)*(1-Assumptions!$B$10)</f>
        <v>0</v>
      </c>
      <c r="Y112" s="35" t="n">
        <f aca="false">(Y18)*(1-Assumptions!$B$10)</f>
        <v>0</v>
      </c>
      <c r="Z112" s="35" t="n">
        <f aca="false">(Z18)*(1-Assumptions!$B$10)</f>
        <v>0</v>
      </c>
    </row>
    <row r="113" customFormat="false" ht="15" hidden="false" customHeight="false" outlineLevel="0" collapsed="false">
      <c r="A113" s="11" t="s">
        <v>456</v>
      </c>
      <c r="C113" s="35" t="n">
        <f aca="false">(C22)*(1-Assumptions!$B$10)</f>
        <v>0</v>
      </c>
      <c r="D113" s="35" t="n">
        <f aca="false">(D22)*(1-Assumptions!$B$10)</f>
        <v>0</v>
      </c>
      <c r="E113" s="35" t="n">
        <f aca="false">(E22)*(1-Assumptions!$B$10)</f>
        <v>0</v>
      </c>
      <c r="F113" s="35" t="n">
        <f aca="false">(F22)*(1-Assumptions!$B$10)</f>
        <v>0</v>
      </c>
      <c r="G113" s="35" t="n">
        <f aca="false">(G22)*(1-Assumptions!$B$10)</f>
        <v>0</v>
      </c>
      <c r="H113" s="35" t="n">
        <f aca="false">(H22)*(1-Assumptions!$B$10)</f>
        <v>0</v>
      </c>
      <c r="I113" s="35" t="n">
        <f aca="false">(I22)*(1-Assumptions!$B$10)</f>
        <v>0</v>
      </c>
      <c r="J113" s="35" t="n">
        <f aca="false">(J22)*(1-Assumptions!$B$10)</f>
        <v>0</v>
      </c>
      <c r="K113" s="35" t="n">
        <f aca="false">(K22)*(1-Assumptions!$B$10)</f>
        <v>0</v>
      </c>
      <c r="L113" s="35" t="n">
        <f aca="false">(L22)*(1-Assumptions!$B$10)</f>
        <v>0</v>
      </c>
      <c r="M113" s="35" t="n">
        <f aca="false">(M22)*(1-Assumptions!$B$10)</f>
        <v>0</v>
      </c>
      <c r="N113" s="35" t="n">
        <f aca="false">(N22)*(1-Assumptions!$B$10)</f>
        <v>0</v>
      </c>
      <c r="O113" s="35" t="n">
        <f aca="false">(O22)*(1-Assumptions!$B$10)</f>
        <v>0</v>
      </c>
      <c r="P113" s="35" t="n">
        <f aca="false">(P22)*(1-Assumptions!$B$10)</f>
        <v>0</v>
      </c>
      <c r="Q113" s="35" t="n">
        <f aca="false">(Q22)*(1-Assumptions!$B$10)</f>
        <v>0</v>
      </c>
      <c r="R113" s="35" t="n">
        <f aca="false">(R22)*(1-Assumptions!$B$10)</f>
        <v>0</v>
      </c>
      <c r="S113" s="35" t="n">
        <f aca="false">(S22)*(1-Assumptions!$B$10)</f>
        <v>0</v>
      </c>
      <c r="T113" s="35" t="n">
        <f aca="false">(T22)*(1-Assumptions!$B$10)</f>
        <v>0</v>
      </c>
      <c r="U113" s="35" t="n">
        <f aca="false">(U22)*(1-Assumptions!$B$10)</f>
        <v>0</v>
      </c>
      <c r="V113" s="35" t="n">
        <f aca="false">(V22)*(1-Assumptions!$B$10)</f>
        <v>0</v>
      </c>
      <c r="W113" s="35" t="n">
        <f aca="false">(W22)*(1-Assumptions!$B$10)</f>
        <v>0</v>
      </c>
      <c r="X113" s="35" t="n">
        <f aca="false">(X22)*(1-Assumptions!$B$10)</f>
        <v>0</v>
      </c>
      <c r="Y113" s="35" t="n">
        <f aca="false">(Y22)*(1-Assumptions!$B$10)</f>
        <v>0</v>
      </c>
      <c r="Z113" s="35" t="n">
        <f aca="false">(Z22)*(1-Assumptions!$B$10)</f>
        <v>0</v>
      </c>
    </row>
    <row r="114" customFormat="false" ht="15" hidden="false" customHeight="false" outlineLevel="0" collapsed="false">
      <c r="A114" s="11" t="s">
        <v>457</v>
      </c>
      <c r="C114" s="35" t="n">
        <f aca="false">(C26)*(1-Assumptions!$B$10)</f>
        <v>0</v>
      </c>
      <c r="D114" s="35" t="n">
        <f aca="false">(D26)*(1-Assumptions!$B$10)</f>
        <v>0</v>
      </c>
      <c r="E114" s="35" t="n">
        <f aca="false">(E26)*(1-Assumptions!$B$10)</f>
        <v>0</v>
      </c>
      <c r="F114" s="35" t="n">
        <f aca="false">(F26)*(1-Assumptions!$B$10)</f>
        <v>0</v>
      </c>
      <c r="G114" s="35" t="n">
        <f aca="false">(G26)*(1-Assumptions!$B$10)</f>
        <v>0</v>
      </c>
      <c r="H114" s="35" t="n">
        <f aca="false">(H26)*(1-Assumptions!$B$10)</f>
        <v>0</v>
      </c>
      <c r="I114" s="35" t="n">
        <f aca="false">(I26)*(1-Assumptions!$B$10)</f>
        <v>0</v>
      </c>
      <c r="J114" s="35" t="n">
        <f aca="false">(J26)*(1-Assumptions!$B$10)</f>
        <v>0</v>
      </c>
      <c r="K114" s="35" t="n">
        <f aca="false">(K26)*(1-Assumptions!$B$10)</f>
        <v>0</v>
      </c>
      <c r="L114" s="35" t="n">
        <f aca="false">(L26)*(1-Assumptions!$B$10)</f>
        <v>0</v>
      </c>
      <c r="M114" s="35" t="n">
        <f aca="false">(M26)*(1-Assumptions!$B$10)</f>
        <v>0</v>
      </c>
      <c r="N114" s="35" t="n">
        <f aca="false">(N26)*(1-Assumptions!$B$10)</f>
        <v>0</v>
      </c>
      <c r="O114" s="35" t="n">
        <f aca="false">(O26)*(1-Assumptions!$B$10)</f>
        <v>0</v>
      </c>
      <c r="P114" s="35" t="n">
        <f aca="false">(P26)*(1-Assumptions!$B$10)</f>
        <v>0</v>
      </c>
      <c r="Q114" s="35" t="n">
        <f aca="false">(Q26)*(1-Assumptions!$B$10)</f>
        <v>0</v>
      </c>
      <c r="R114" s="35" t="n">
        <f aca="false">(R26)*(1-Assumptions!$B$10)</f>
        <v>0</v>
      </c>
      <c r="S114" s="35" t="n">
        <f aca="false">(S26)*(1-Assumptions!$B$10)</f>
        <v>0</v>
      </c>
      <c r="T114" s="35" t="n">
        <f aca="false">(T26)*(1-Assumptions!$B$10)</f>
        <v>0</v>
      </c>
      <c r="U114" s="35" t="n">
        <f aca="false">(U26)*(1-Assumptions!$B$10)</f>
        <v>0</v>
      </c>
      <c r="V114" s="35" t="n">
        <f aca="false">(V26)*(1-Assumptions!$B$10)</f>
        <v>0</v>
      </c>
      <c r="W114" s="35" t="n">
        <f aca="false">(W26)*(1-Assumptions!$B$10)</f>
        <v>0</v>
      </c>
      <c r="X114" s="35" t="n">
        <f aca="false">(X26)*(1-Assumptions!$B$10)</f>
        <v>0</v>
      </c>
      <c r="Y114" s="35" t="n">
        <f aca="false">(Y26)*(1-Assumptions!$B$10)</f>
        <v>0</v>
      </c>
      <c r="Z114" s="35" t="n">
        <f aca="false">(Z26)*(1-Assumptions!$B$10)</f>
        <v>0</v>
      </c>
    </row>
    <row r="115" customFormat="false" ht="15" hidden="false" customHeight="false" outlineLevel="0" collapsed="false">
      <c r="A115" s="11" t="s">
        <v>458</v>
      </c>
      <c r="C115" s="35" t="n">
        <f aca="false">(C30)*(1-Assumptions!$B$10)</f>
        <v>0</v>
      </c>
      <c r="D115" s="35" t="n">
        <f aca="false">(D30)*(1-Assumptions!$B$10)</f>
        <v>0</v>
      </c>
      <c r="E115" s="35" t="n">
        <f aca="false">(E30)*(1-Assumptions!$B$10)</f>
        <v>0</v>
      </c>
      <c r="F115" s="35" t="n">
        <f aca="false">(F30)*(1-Assumptions!$B$10)</f>
        <v>0</v>
      </c>
      <c r="G115" s="35" t="n">
        <f aca="false">(G30)*(1-Assumptions!$B$10)</f>
        <v>0</v>
      </c>
      <c r="H115" s="35" t="n">
        <f aca="false">(H30)*(1-Assumptions!$B$10)</f>
        <v>0</v>
      </c>
      <c r="I115" s="35" t="n">
        <f aca="false">(I30)*(1-Assumptions!$B$10)</f>
        <v>0</v>
      </c>
      <c r="J115" s="35" t="n">
        <f aca="false">(J30)*(1-Assumptions!$B$10)</f>
        <v>0</v>
      </c>
      <c r="K115" s="35" t="n">
        <f aca="false">(K30)*(1-Assumptions!$B$10)</f>
        <v>0</v>
      </c>
      <c r="L115" s="35" t="n">
        <f aca="false">(L30)*(1-Assumptions!$B$10)</f>
        <v>0</v>
      </c>
      <c r="M115" s="35" t="n">
        <f aca="false">(M30)*(1-Assumptions!$B$10)</f>
        <v>0</v>
      </c>
      <c r="N115" s="35" t="n">
        <f aca="false">(N30)*(1-Assumptions!$B$10)</f>
        <v>0</v>
      </c>
      <c r="O115" s="35" t="n">
        <f aca="false">(O30)*(1-Assumptions!$B$10)</f>
        <v>0</v>
      </c>
      <c r="P115" s="35" t="n">
        <f aca="false">(P30)*(1-Assumptions!$B$10)</f>
        <v>0</v>
      </c>
      <c r="Q115" s="35" t="n">
        <f aca="false">(Q30)*(1-Assumptions!$B$10)</f>
        <v>0</v>
      </c>
      <c r="R115" s="35" t="n">
        <f aca="false">(R30)*(1-Assumptions!$B$10)</f>
        <v>0</v>
      </c>
      <c r="S115" s="35" t="n">
        <f aca="false">(S30)*(1-Assumptions!$B$10)</f>
        <v>0</v>
      </c>
      <c r="T115" s="35" t="n">
        <f aca="false">(T30)*(1-Assumptions!$B$10)</f>
        <v>0</v>
      </c>
      <c r="U115" s="35" t="n">
        <f aca="false">(U30)*(1-Assumptions!$B$10)</f>
        <v>0</v>
      </c>
      <c r="V115" s="35" t="n">
        <f aca="false">(V30)*(1-Assumptions!$B$10)</f>
        <v>0</v>
      </c>
      <c r="W115" s="35" t="n">
        <f aca="false">(W30)*(1-Assumptions!$B$10)</f>
        <v>0</v>
      </c>
      <c r="X115" s="35" t="n">
        <f aca="false">(X30)*(1-Assumptions!$B$10)</f>
        <v>0</v>
      </c>
      <c r="Y115" s="35" t="n">
        <f aca="false">(Y30)*(1-Assumptions!$B$10)</f>
        <v>0</v>
      </c>
      <c r="Z115" s="35" t="n">
        <f aca="false">(Z30)*(1-Assumptions!$B$10)</f>
        <v>0</v>
      </c>
    </row>
    <row r="116" customFormat="false" ht="15" hidden="false" customHeight="false" outlineLevel="0" collapsed="false">
      <c r="A116" s="11" t="s">
        <v>459</v>
      </c>
      <c r="C116" s="35" t="n">
        <f aca="false">(C42-C41)*(1-Assumptions!$B$10)+C43*Assumptions!$B$10-(C36+C37)</f>
        <v>0</v>
      </c>
      <c r="D116" s="35" t="n">
        <f aca="false">(D42-D41)*(1-Assumptions!$B$10)+D43*Assumptions!$B$10-(D36+D37)</f>
        <v>0</v>
      </c>
      <c r="E116" s="35" t="n">
        <f aca="false">(E42-E41)*(1-Assumptions!$B$10)+E43*Assumptions!$B$10-(E36+E37)</f>
        <v>-205763.333333333</v>
      </c>
      <c r="F116" s="35" t="n">
        <f aca="false">(F42-F41)*(1-Assumptions!$B$10)+F43*Assumptions!$B$10-(F36+F37)</f>
        <v>8194.16666666667</v>
      </c>
      <c r="G116" s="35" t="n">
        <f aca="false">(G42-G41)*(1-Assumptions!$B$10)+G43*Assumptions!$B$10-(G36+G37)</f>
        <v>10631.6666666667</v>
      </c>
      <c r="H116" s="35" t="n">
        <f aca="false">(H42-H41)*(1-Assumptions!$B$10)+H43*Assumptions!$B$10-(H36+H37)</f>
        <v>13069.1666666667</v>
      </c>
      <c r="I116" s="35" t="n">
        <f aca="false">(I42-I41)*(1-Assumptions!$B$10)+I43*Assumptions!$B$10-(I36+I37)</f>
        <v>13069.1666666667</v>
      </c>
      <c r="J116" s="35" t="n">
        <f aca="false">(J42-J41)*(1-Assumptions!$B$10)+J43*Assumptions!$B$10-(J36+J37)</f>
        <v>13069.1666666667</v>
      </c>
      <c r="K116" s="35" t="n">
        <f aca="false">(K42-K41)*(1-Assumptions!$B$10)+K43*Assumptions!$B$10-(K36+K37)</f>
        <v>13069.1666666667</v>
      </c>
      <c r="L116" s="35" t="n">
        <f aca="false">(L42-L41)*(1-Assumptions!$B$10)+L43*Assumptions!$B$10-(L36+L37)</f>
        <v>13069.1666666667</v>
      </c>
      <c r="M116" s="35" t="n">
        <f aca="false">(M42-M41)*(1-Assumptions!$B$10)+M43*Assumptions!$B$10-(M36+M37)</f>
        <v>13069.1666666667</v>
      </c>
      <c r="N116" s="35" t="n">
        <f aca="false">(N42-N41)*(1-Assumptions!$B$10)+N43*Assumptions!$B$10-(N36+N37)</f>
        <v>13069.1666666667</v>
      </c>
      <c r="O116" s="35" t="n">
        <f aca="false">(O42-O41)*(1-Assumptions!$B$10)+O43*Assumptions!$B$10-(O36+O37)</f>
        <v>13069.1666666667</v>
      </c>
      <c r="P116" s="35" t="n">
        <f aca="false">(P42-P41)*(1-Assumptions!$B$10)+P43*Assumptions!$B$10-(P36+P37)</f>
        <v>13069.1666666667</v>
      </c>
      <c r="Q116" s="35" t="n">
        <f aca="false">(Q42-Q41)*(1-Assumptions!$B$10)+Q43*Assumptions!$B$10-(Q36+Q37)</f>
        <v>8662.5</v>
      </c>
      <c r="R116" s="35" t="n">
        <f aca="false">(R42-R41)*(1-Assumptions!$B$10)+R43*Assumptions!$B$10-(R36+R37)</f>
        <v>8662.5</v>
      </c>
      <c r="S116" s="35" t="n">
        <f aca="false">(S42-S41)*(1-Assumptions!$B$10)+S43*Assumptions!$B$10-(S36+S37)</f>
        <v>8662.5</v>
      </c>
      <c r="T116" s="35" t="n">
        <f aca="false">(T42-T41)*(1-Assumptions!$B$10)+T43*Assumptions!$B$10-(T36+T37)</f>
        <v>8662.5</v>
      </c>
      <c r="U116" s="35" t="n">
        <f aca="false">(U42-U41)*(1-Assumptions!$B$10)+U43*Assumptions!$B$10-(U36+U37)</f>
        <v>8662.5</v>
      </c>
      <c r="V116" s="35" t="n">
        <f aca="false">(V42-V41)*(1-Assumptions!$B$10)+V43*Assumptions!$B$10-(V36+V37)</f>
        <v>8662.5</v>
      </c>
      <c r="W116" s="35" t="n">
        <f aca="false">(W42-W41)*(1-Assumptions!$B$10)+W43*Assumptions!$B$10-(W36+W37)</f>
        <v>8662.5</v>
      </c>
      <c r="X116" s="35" t="n">
        <f aca="false">(X42-X41)*(1-Assumptions!$B$10)+X43*Assumptions!$B$10-(X36+X37)</f>
        <v>8662.5</v>
      </c>
      <c r="Y116" s="35" t="n">
        <f aca="false">(Y42-Y41)*(1-Assumptions!$B$10)+Y43*Assumptions!$B$10-(Y36+Y37)</f>
        <v>8662.5</v>
      </c>
      <c r="Z116" s="35" t="n">
        <f aca="false">(Z42-Z41)*(1-Assumptions!$B$10)+Z43*Assumptions!$B$10-(Z36+Z37)</f>
        <v>8662.5</v>
      </c>
    </row>
    <row r="117" customFormat="false" ht="15" hidden="false" customHeight="false" outlineLevel="0" collapsed="false">
      <c r="A117" s="11" t="s">
        <v>460</v>
      </c>
      <c r="C117" s="35" t="n">
        <f aca="false">(C51-C50)*(1-Assumptions!$B$10)+C52*Assumptions!$B$10-(C45+C46)</f>
        <v>0</v>
      </c>
      <c r="D117" s="35" t="n">
        <f aca="false">(D51-D50)*(1-Assumptions!$B$10)+D52*Assumptions!$B$10-(D45+D46)</f>
        <v>0</v>
      </c>
      <c r="E117" s="35" t="n">
        <f aca="false">(E51-E50)*(1-Assumptions!$B$10)+E52*Assumptions!$B$10-(E45+E46)</f>
        <v>0</v>
      </c>
      <c r="F117" s="35" t="n">
        <f aca="false">(F51-F50)*(1-Assumptions!$B$10)+F52*Assumptions!$B$10-(F45+F46)</f>
        <v>0</v>
      </c>
      <c r="G117" s="35" t="n">
        <f aca="false">(G51-G50)*(1-Assumptions!$B$10)+G52*Assumptions!$B$10-(G45+G46)</f>
        <v>0</v>
      </c>
      <c r="H117" s="35" t="n">
        <f aca="false">(H51-H50)*(1-Assumptions!$B$10)+H52*Assumptions!$B$10-(H45+H46)</f>
        <v>0</v>
      </c>
      <c r="I117" s="35" t="n">
        <f aca="false">(I51-I50)*(1-Assumptions!$B$10)+I52*Assumptions!$B$10-(I45+I46)</f>
        <v>0</v>
      </c>
      <c r="J117" s="35" t="n">
        <f aca="false">(J51-J50)*(1-Assumptions!$B$10)+J52*Assumptions!$B$10-(J45+J46)</f>
        <v>0</v>
      </c>
      <c r="K117" s="35" t="n">
        <f aca="false">(K51-K50)*(1-Assumptions!$B$10)+K52*Assumptions!$B$10-(K45+K46)</f>
        <v>0</v>
      </c>
      <c r="L117" s="35" t="n">
        <f aca="false">(L51-L50)*(1-Assumptions!$B$10)+L52*Assumptions!$B$10-(L45+L46)</f>
        <v>0</v>
      </c>
      <c r="M117" s="35" t="n">
        <f aca="false">(M51-M50)*(1-Assumptions!$B$10)+M52*Assumptions!$B$10-(M45+M46)</f>
        <v>0</v>
      </c>
      <c r="N117" s="35" t="n">
        <f aca="false">(N51-N50)*(1-Assumptions!$B$10)+N52*Assumptions!$B$10-(N45+N46)</f>
        <v>0</v>
      </c>
      <c r="O117" s="35" t="n">
        <f aca="false">(O51-O50)*(1-Assumptions!$B$10)+O52*Assumptions!$B$10-(O45+O46)</f>
        <v>0</v>
      </c>
      <c r="P117" s="35" t="n">
        <f aca="false">(P51-P50)*(1-Assumptions!$B$10)+P52*Assumptions!$B$10-(P45+P46)</f>
        <v>0</v>
      </c>
      <c r="Q117" s="35" t="n">
        <f aca="false">(Q51-Q50)*(1-Assumptions!$B$10)+Q52*Assumptions!$B$10-(Q45+Q46)</f>
        <v>0</v>
      </c>
      <c r="R117" s="35" t="n">
        <f aca="false">(R51-R50)*(1-Assumptions!$B$10)+R52*Assumptions!$B$10-(R45+R46)</f>
        <v>0</v>
      </c>
      <c r="S117" s="35" t="n">
        <f aca="false">(S51-S50)*(1-Assumptions!$B$10)+S52*Assumptions!$B$10-(S45+S46)</f>
        <v>0</v>
      </c>
      <c r="T117" s="35" t="n">
        <f aca="false">(T51-T50)*(1-Assumptions!$B$10)+T52*Assumptions!$B$10-(T45+T46)</f>
        <v>0</v>
      </c>
      <c r="U117" s="35" t="n">
        <f aca="false">(U51-U50)*(1-Assumptions!$B$10)+U52*Assumptions!$B$10-(U45+U46)</f>
        <v>0</v>
      </c>
      <c r="V117" s="35" t="n">
        <f aca="false">(V51-V50)*(1-Assumptions!$B$10)+V52*Assumptions!$B$10-(V45+V46)</f>
        <v>0</v>
      </c>
      <c r="W117" s="35" t="n">
        <f aca="false">(W51-W50)*(1-Assumptions!$B$10)+W52*Assumptions!$B$10-(W45+W46)</f>
        <v>0</v>
      </c>
      <c r="X117" s="35" t="n">
        <f aca="false">(X51-X50)*(1-Assumptions!$B$10)+X52*Assumptions!$B$10-(X45+X46)</f>
        <v>0</v>
      </c>
      <c r="Y117" s="35" t="n">
        <f aca="false">(Y51-Y50)*(1-Assumptions!$B$10)+Y52*Assumptions!$B$10-(Y45+Y46)</f>
        <v>0</v>
      </c>
      <c r="Z117" s="35" t="n">
        <f aca="false">(Z51-Z50)*(1-Assumptions!$B$10)+Z52*Assumptions!$B$10-(Z45+Z46)</f>
        <v>0</v>
      </c>
    </row>
    <row r="118" customFormat="false" ht="15" hidden="false" customHeight="false" outlineLevel="0" collapsed="false">
      <c r="A118" s="11" t="s">
        <v>461</v>
      </c>
      <c r="C118" s="35" t="n">
        <f aca="false">(C60-C59)*(1-Assumptions!$B$10)+C61*Assumptions!$B$10-(C54+C55)</f>
        <v>0</v>
      </c>
      <c r="D118" s="35" t="n">
        <f aca="false">(D60-D59)*(1-Assumptions!$B$10)+D61*Assumptions!$B$10-(D54+D55)</f>
        <v>0</v>
      </c>
      <c r="E118" s="35" t="n">
        <f aca="false">(E60-E59)*(1-Assumptions!$B$10)+E61*Assumptions!$B$10-(E54+E55)</f>
        <v>0</v>
      </c>
      <c r="F118" s="35" t="n">
        <f aca="false">(F60-F59)*(1-Assumptions!$B$10)+F61*Assumptions!$B$10-(F54+F55)</f>
        <v>0</v>
      </c>
      <c r="G118" s="35" t="n">
        <f aca="false">(G60-G59)*(1-Assumptions!$B$10)+G61*Assumptions!$B$10-(G54+G55)</f>
        <v>0</v>
      </c>
      <c r="H118" s="35" t="n">
        <f aca="false">(H60-H59)*(1-Assumptions!$B$10)+H61*Assumptions!$B$10-(H54+H55)</f>
        <v>0</v>
      </c>
      <c r="I118" s="35" t="n">
        <f aca="false">(I60-I59)*(1-Assumptions!$B$10)+I61*Assumptions!$B$10-(I54+I55)</f>
        <v>0</v>
      </c>
      <c r="J118" s="35" t="n">
        <f aca="false">(J60-J59)*(1-Assumptions!$B$10)+J61*Assumptions!$B$10-(J54+J55)</f>
        <v>0</v>
      </c>
      <c r="K118" s="35" t="n">
        <f aca="false">(K60-K59)*(1-Assumptions!$B$10)+K61*Assumptions!$B$10-(K54+K55)</f>
        <v>0</v>
      </c>
      <c r="L118" s="35" t="n">
        <f aca="false">(L60-L59)*(1-Assumptions!$B$10)+L61*Assumptions!$B$10-(L54+L55)</f>
        <v>0</v>
      </c>
      <c r="M118" s="35" t="n">
        <f aca="false">(M60-M59)*(1-Assumptions!$B$10)+M61*Assumptions!$B$10-(M54+M55)</f>
        <v>0</v>
      </c>
      <c r="N118" s="35" t="n">
        <f aca="false">(N60-N59)*(1-Assumptions!$B$10)+N61*Assumptions!$B$10-(N54+N55)</f>
        <v>0</v>
      </c>
      <c r="O118" s="35" t="n">
        <f aca="false">(O60-O59)*(1-Assumptions!$B$10)+O61*Assumptions!$B$10-(O54+O55)</f>
        <v>0</v>
      </c>
      <c r="P118" s="35" t="n">
        <f aca="false">(P60-P59)*(1-Assumptions!$B$10)+P61*Assumptions!$B$10-(P54+P55)</f>
        <v>0</v>
      </c>
      <c r="Q118" s="35" t="n">
        <f aca="false">(Q60-Q59)*(1-Assumptions!$B$10)+Q61*Assumptions!$B$10-(Q54+Q55)</f>
        <v>0</v>
      </c>
      <c r="R118" s="35" t="n">
        <f aca="false">(R60-R59)*(1-Assumptions!$B$10)+R61*Assumptions!$B$10-(R54+R55)</f>
        <v>0</v>
      </c>
      <c r="S118" s="35" t="n">
        <f aca="false">(S60-S59)*(1-Assumptions!$B$10)+S61*Assumptions!$B$10-(S54+S55)</f>
        <v>0</v>
      </c>
      <c r="T118" s="35" t="n">
        <f aca="false">(T60-T59)*(1-Assumptions!$B$10)+T61*Assumptions!$B$10-(T54+T55)</f>
        <v>0</v>
      </c>
      <c r="U118" s="35" t="n">
        <f aca="false">(U60-U59)*(1-Assumptions!$B$10)+U61*Assumptions!$B$10-(U54+U55)</f>
        <v>0</v>
      </c>
      <c r="V118" s="35" t="n">
        <f aca="false">(V60-V59)*(1-Assumptions!$B$10)+V61*Assumptions!$B$10-(V54+V55)</f>
        <v>0</v>
      </c>
      <c r="W118" s="35" t="n">
        <f aca="false">(W60-W59)*(1-Assumptions!$B$10)+W61*Assumptions!$B$10-(W54+W55)</f>
        <v>0</v>
      </c>
      <c r="X118" s="35" t="n">
        <f aca="false">(X60-X59)*(1-Assumptions!$B$10)+X61*Assumptions!$B$10-(X54+X55)</f>
        <v>0</v>
      </c>
      <c r="Y118" s="35" t="n">
        <f aca="false">(Y60-Y59)*(1-Assumptions!$B$10)+Y61*Assumptions!$B$10-(Y54+Y55)</f>
        <v>0</v>
      </c>
      <c r="Z118" s="35" t="n">
        <f aca="false">(Z60-Z59)*(1-Assumptions!$B$10)+Z61*Assumptions!$B$10-(Z54+Z55)</f>
        <v>0</v>
      </c>
    </row>
    <row r="119" customFormat="false" ht="15" hidden="false" customHeight="false" outlineLevel="0" collapsed="false">
      <c r="A119" s="11" t="s">
        <v>462</v>
      </c>
      <c r="C119" s="35" t="n">
        <f aca="false">(C69-C68)*(1-Assumptions!$B$10)+C70*Assumptions!$B$10-(C63+C64)</f>
        <v>0</v>
      </c>
      <c r="D119" s="35" t="n">
        <f aca="false">(D69-D68)*(1-Assumptions!$B$10)+D70*Assumptions!$B$10-(D63+D64)</f>
        <v>0</v>
      </c>
      <c r="E119" s="35" t="n">
        <f aca="false">(E69-E68)*(1-Assumptions!$B$10)+E70*Assumptions!$B$10-(E63+E64)</f>
        <v>0</v>
      </c>
      <c r="F119" s="35" t="n">
        <f aca="false">(F69-F68)*(1-Assumptions!$B$10)+F70*Assumptions!$B$10-(F63+F64)</f>
        <v>0</v>
      </c>
      <c r="G119" s="35" t="n">
        <f aca="false">(G69-G68)*(1-Assumptions!$B$10)+G70*Assumptions!$B$10-(G63+G64)</f>
        <v>0</v>
      </c>
      <c r="H119" s="35" t="n">
        <f aca="false">(H69-H68)*(1-Assumptions!$B$10)+H70*Assumptions!$B$10-(H63+H64)</f>
        <v>0</v>
      </c>
      <c r="I119" s="35" t="n">
        <f aca="false">(I69-I68)*(1-Assumptions!$B$10)+I70*Assumptions!$B$10-(I63+I64)</f>
        <v>0</v>
      </c>
      <c r="J119" s="35" t="n">
        <f aca="false">(J69-J68)*(1-Assumptions!$B$10)+J70*Assumptions!$B$10-(J63+J64)</f>
        <v>0</v>
      </c>
      <c r="K119" s="35" t="n">
        <f aca="false">(K69-K68)*(1-Assumptions!$B$10)+K70*Assumptions!$B$10-(K63+K64)</f>
        <v>0</v>
      </c>
      <c r="L119" s="35" t="n">
        <f aca="false">(L69-L68)*(1-Assumptions!$B$10)+L70*Assumptions!$B$10-(L63+L64)</f>
        <v>0</v>
      </c>
      <c r="M119" s="35" t="n">
        <f aca="false">(M69-M68)*(1-Assumptions!$B$10)+M70*Assumptions!$B$10-(M63+M64)</f>
        <v>0</v>
      </c>
      <c r="N119" s="35" t="n">
        <f aca="false">(N69-N68)*(1-Assumptions!$B$10)+N70*Assumptions!$B$10-(N63+N64)</f>
        <v>0</v>
      </c>
      <c r="O119" s="35" t="n">
        <f aca="false">(O69-O68)*(1-Assumptions!$B$10)+O70*Assumptions!$B$10-(O63+O64)</f>
        <v>0</v>
      </c>
      <c r="P119" s="35" t="n">
        <f aca="false">(P69-P68)*(1-Assumptions!$B$10)+P70*Assumptions!$B$10-(P63+P64)</f>
        <v>0</v>
      </c>
      <c r="Q119" s="35" t="n">
        <f aca="false">(Q69-Q68)*(1-Assumptions!$B$10)+Q70*Assumptions!$B$10-(Q63+Q64)</f>
        <v>0</v>
      </c>
      <c r="R119" s="35" t="n">
        <f aca="false">(R69-R68)*(1-Assumptions!$B$10)+R70*Assumptions!$B$10-(R63+R64)</f>
        <v>0</v>
      </c>
      <c r="S119" s="35" t="n">
        <f aca="false">(S69-S68)*(1-Assumptions!$B$10)+S70*Assumptions!$B$10-(S63+S64)</f>
        <v>0</v>
      </c>
      <c r="T119" s="35" t="n">
        <f aca="false">(T69-T68)*(1-Assumptions!$B$10)+T70*Assumptions!$B$10-(T63+T64)</f>
        <v>0</v>
      </c>
      <c r="U119" s="35" t="n">
        <f aca="false">(U69-U68)*(1-Assumptions!$B$10)+U70*Assumptions!$B$10-(U63+U64)</f>
        <v>0</v>
      </c>
      <c r="V119" s="35" t="n">
        <f aca="false">(V69-V68)*(1-Assumptions!$B$10)+V70*Assumptions!$B$10-(V63+V64)</f>
        <v>0</v>
      </c>
      <c r="W119" s="35" t="n">
        <f aca="false">(W69-W68)*(1-Assumptions!$B$10)+W70*Assumptions!$B$10-(W63+W64)</f>
        <v>0</v>
      </c>
      <c r="X119" s="35" t="n">
        <f aca="false">(X69-X68)*(1-Assumptions!$B$10)+X70*Assumptions!$B$10-(X63+X64)</f>
        <v>0</v>
      </c>
      <c r="Y119" s="35" t="n">
        <f aca="false">(Y69-Y68)*(1-Assumptions!$B$10)+Y70*Assumptions!$B$10-(Y63+Y64)</f>
        <v>0</v>
      </c>
      <c r="Z119" s="35" t="n">
        <f aca="false">(Z69-Z68)*(1-Assumptions!$B$10)+Z70*Assumptions!$B$10-(Z63+Z64)</f>
        <v>0</v>
      </c>
    </row>
    <row r="120" customFormat="false" ht="15" hidden="false" customHeight="false" outlineLevel="0" collapsed="false">
      <c r="A120" s="11" t="s">
        <v>463</v>
      </c>
      <c r="C120" s="35" t="n">
        <f aca="false">(C86)*(1-Assumptions!$B$10)</f>
        <v>0</v>
      </c>
      <c r="D120" s="35" t="n">
        <f aca="false">(D86)*(1-Assumptions!$B$10)</f>
        <v>0</v>
      </c>
      <c r="E120" s="35" t="n">
        <f aca="false">(E86)*(1-Assumptions!$B$10)</f>
        <v>0</v>
      </c>
      <c r="F120" s="35" t="n">
        <f aca="false">(F86)*(1-Assumptions!$B$10)</f>
        <v>0</v>
      </c>
      <c r="G120" s="35" t="n">
        <f aca="false">(G86)*(1-Assumptions!$B$10)</f>
        <v>0</v>
      </c>
      <c r="H120" s="35" t="n">
        <f aca="false">(H86)*(1-Assumptions!$B$10)</f>
        <v>0</v>
      </c>
      <c r="I120" s="35" t="n">
        <f aca="false">(I86)*(1-Assumptions!$B$10)</f>
        <v>0</v>
      </c>
      <c r="J120" s="35" t="n">
        <f aca="false">(J86)*(1-Assumptions!$B$10)</f>
        <v>0</v>
      </c>
      <c r="K120" s="35" t="n">
        <f aca="false">(K86)*(1-Assumptions!$B$10)</f>
        <v>0</v>
      </c>
      <c r="L120" s="35" t="n">
        <f aca="false">(L86)*(1-Assumptions!$B$10)</f>
        <v>0</v>
      </c>
      <c r="M120" s="35" t="n">
        <f aca="false">(M86)*(1-Assumptions!$B$10)</f>
        <v>0</v>
      </c>
      <c r="N120" s="35" t="n">
        <f aca="false">(N86)*(1-Assumptions!$B$10)</f>
        <v>0</v>
      </c>
      <c r="O120" s="35" t="n">
        <f aca="false">(O86)*(1-Assumptions!$B$10)</f>
        <v>0</v>
      </c>
      <c r="P120" s="35" t="n">
        <f aca="false">(P86)*(1-Assumptions!$B$10)</f>
        <v>0</v>
      </c>
      <c r="Q120" s="35" t="n">
        <f aca="false">(Q86)*(1-Assumptions!$B$10)</f>
        <v>0</v>
      </c>
      <c r="R120" s="35" t="n">
        <f aca="false">(R86)*(1-Assumptions!$B$10)</f>
        <v>0</v>
      </c>
      <c r="S120" s="35" t="n">
        <f aca="false">(S86)*(1-Assumptions!$B$10)</f>
        <v>0</v>
      </c>
      <c r="T120" s="35" t="n">
        <f aca="false">(T86)*(1-Assumptions!$B$10)</f>
        <v>0</v>
      </c>
      <c r="U120" s="35" t="n">
        <f aca="false">(U86)*(1-Assumptions!$B$10)</f>
        <v>0</v>
      </c>
      <c r="V120" s="35" t="n">
        <f aca="false">(V86)*(1-Assumptions!$B$10)</f>
        <v>0</v>
      </c>
      <c r="W120" s="35" t="n">
        <f aca="false">(W86)*(1-Assumptions!$B$10)</f>
        <v>0</v>
      </c>
      <c r="X120" s="35" t="n">
        <f aca="false">(X86)*(1-Assumptions!$B$10)</f>
        <v>0</v>
      </c>
      <c r="Y120" s="35" t="n">
        <f aca="false">(Y86)*(1-Assumptions!$B$10)</f>
        <v>0</v>
      </c>
      <c r="Z120" s="35" t="n">
        <f aca="false">(Z86)*(1-Assumptions!$B$10)</f>
        <v>0</v>
      </c>
    </row>
    <row r="121" customFormat="false" ht="15" hidden="false" customHeight="false" outlineLevel="0" collapsed="false">
      <c r="A121" s="11" t="s">
        <v>464</v>
      </c>
      <c r="C121" s="35" t="n">
        <f aca="false">(C90)*(1-Assumptions!$B$10)</f>
        <v>0</v>
      </c>
      <c r="D121" s="35" t="n">
        <f aca="false">(D90)*(1-Assumptions!$B$10)</f>
        <v>0</v>
      </c>
      <c r="E121" s="35" t="n">
        <f aca="false">(E90)*(1-Assumptions!$B$10)</f>
        <v>0</v>
      </c>
      <c r="F121" s="35" t="n">
        <f aca="false">(F90)*(1-Assumptions!$B$10)</f>
        <v>0</v>
      </c>
      <c r="G121" s="35" t="n">
        <f aca="false">(G90)*(1-Assumptions!$B$10)</f>
        <v>0</v>
      </c>
      <c r="H121" s="35" t="n">
        <f aca="false">(H90)*(1-Assumptions!$B$10)</f>
        <v>0</v>
      </c>
      <c r="I121" s="35" t="n">
        <f aca="false">(I90)*(1-Assumptions!$B$10)</f>
        <v>0</v>
      </c>
      <c r="J121" s="35" t="n">
        <f aca="false">(J90)*(1-Assumptions!$B$10)</f>
        <v>0</v>
      </c>
      <c r="K121" s="35" t="n">
        <f aca="false">(K90)*(1-Assumptions!$B$10)</f>
        <v>0</v>
      </c>
      <c r="L121" s="35" t="n">
        <f aca="false">(L90)*(1-Assumptions!$B$10)</f>
        <v>0</v>
      </c>
      <c r="M121" s="35" t="n">
        <f aca="false">(M90)*(1-Assumptions!$B$10)</f>
        <v>0</v>
      </c>
      <c r="N121" s="35" t="n">
        <f aca="false">(N90)*(1-Assumptions!$B$10)</f>
        <v>0</v>
      </c>
      <c r="O121" s="35" t="n">
        <f aca="false">(O90)*(1-Assumptions!$B$10)</f>
        <v>0</v>
      </c>
      <c r="P121" s="35" t="n">
        <f aca="false">(P90)*(1-Assumptions!$B$10)</f>
        <v>0</v>
      </c>
      <c r="Q121" s="35" t="n">
        <f aca="false">(Q90)*(1-Assumptions!$B$10)</f>
        <v>0</v>
      </c>
      <c r="R121" s="35" t="n">
        <f aca="false">(R90)*(1-Assumptions!$B$10)</f>
        <v>0</v>
      </c>
      <c r="S121" s="35" t="n">
        <f aca="false">(S90)*(1-Assumptions!$B$10)</f>
        <v>0</v>
      </c>
      <c r="T121" s="35" t="n">
        <f aca="false">(T90)*(1-Assumptions!$B$10)</f>
        <v>0</v>
      </c>
      <c r="U121" s="35" t="n">
        <f aca="false">(U90)*(1-Assumptions!$B$10)</f>
        <v>0</v>
      </c>
      <c r="V121" s="35" t="n">
        <f aca="false">(V90)*(1-Assumptions!$B$10)</f>
        <v>0</v>
      </c>
      <c r="W121" s="35" t="n">
        <f aca="false">(W90)*(1-Assumptions!$B$10)</f>
        <v>0</v>
      </c>
      <c r="X121" s="35" t="n">
        <f aca="false">(X90)*(1-Assumptions!$B$10)</f>
        <v>0</v>
      </c>
      <c r="Y121" s="35" t="n">
        <f aca="false">(Y90)*(1-Assumptions!$B$10)</f>
        <v>0</v>
      </c>
      <c r="Z121" s="35" t="n">
        <f aca="false">(Z90)*(1-Assumptions!$B$10)</f>
        <v>0</v>
      </c>
    </row>
    <row r="122" customFormat="false" ht="15" hidden="false" customHeight="false" outlineLevel="0" collapsed="false">
      <c r="A122" s="11" t="s">
        <v>465</v>
      </c>
      <c r="C122" s="35" t="n">
        <f aca="false">(C94)*(1-Assumptions!$B$10)</f>
        <v>0</v>
      </c>
      <c r="D122" s="35" t="n">
        <f aca="false">(D94)*(1-Assumptions!$B$10)</f>
        <v>0</v>
      </c>
      <c r="E122" s="35" t="n">
        <f aca="false">(E94)*(1-Assumptions!$B$10)</f>
        <v>0</v>
      </c>
      <c r="F122" s="35" t="n">
        <f aca="false">(F94)*(1-Assumptions!$B$10)</f>
        <v>0</v>
      </c>
      <c r="G122" s="35" t="n">
        <f aca="false">(G94)*(1-Assumptions!$B$10)</f>
        <v>0</v>
      </c>
      <c r="H122" s="35" t="n">
        <f aca="false">(H94)*(1-Assumptions!$B$10)</f>
        <v>0</v>
      </c>
      <c r="I122" s="35" t="n">
        <f aca="false">(I94)*(1-Assumptions!$B$10)</f>
        <v>0</v>
      </c>
      <c r="J122" s="35" t="n">
        <f aca="false">(J94)*(1-Assumptions!$B$10)</f>
        <v>0</v>
      </c>
      <c r="K122" s="35" t="n">
        <f aca="false">(K94)*(1-Assumptions!$B$10)</f>
        <v>0</v>
      </c>
      <c r="L122" s="35" t="n">
        <f aca="false">(L94)*(1-Assumptions!$B$10)</f>
        <v>0</v>
      </c>
      <c r="M122" s="35" t="n">
        <f aca="false">(M94)*(1-Assumptions!$B$10)</f>
        <v>0</v>
      </c>
      <c r="N122" s="35" t="n">
        <f aca="false">(N94)*(1-Assumptions!$B$10)</f>
        <v>0</v>
      </c>
      <c r="O122" s="35" t="n">
        <f aca="false">(O94)*(1-Assumptions!$B$10)</f>
        <v>0</v>
      </c>
      <c r="P122" s="35" t="n">
        <f aca="false">(P94)*(1-Assumptions!$B$10)</f>
        <v>0</v>
      </c>
      <c r="Q122" s="35" t="n">
        <f aca="false">(Q94)*(1-Assumptions!$B$10)</f>
        <v>0</v>
      </c>
      <c r="R122" s="35" t="n">
        <f aca="false">(R94)*(1-Assumptions!$B$10)</f>
        <v>0</v>
      </c>
      <c r="S122" s="35" t="n">
        <f aca="false">(S94)*(1-Assumptions!$B$10)</f>
        <v>0</v>
      </c>
      <c r="T122" s="35" t="n">
        <f aca="false">(T94)*(1-Assumptions!$B$10)</f>
        <v>0</v>
      </c>
      <c r="U122" s="35" t="n">
        <f aca="false">(U94)*(1-Assumptions!$B$10)</f>
        <v>0</v>
      </c>
      <c r="V122" s="35" t="n">
        <f aca="false">(V94)*(1-Assumptions!$B$10)</f>
        <v>0</v>
      </c>
      <c r="W122" s="35" t="n">
        <f aca="false">(W94)*(1-Assumptions!$B$10)</f>
        <v>0</v>
      </c>
      <c r="X122" s="35" t="n">
        <f aca="false">(X94)*(1-Assumptions!$B$10)</f>
        <v>0</v>
      </c>
      <c r="Y122" s="35" t="n">
        <f aca="false">(Y94)*(1-Assumptions!$B$10)</f>
        <v>0</v>
      </c>
      <c r="Z122" s="35" t="n">
        <f aca="false">(Z94)*(1-Assumptions!$B$10)</f>
        <v>0</v>
      </c>
    </row>
    <row r="123" customFormat="false" ht="15" hidden="false" customHeight="false" outlineLevel="0" collapsed="false">
      <c r="A123" s="11" t="s">
        <v>466</v>
      </c>
      <c r="C123" s="35" t="n">
        <f aca="false">(C98)*(1-Assumptions!$B$10)</f>
        <v>0</v>
      </c>
      <c r="D123" s="35" t="n">
        <f aca="false">(D98)*(1-Assumptions!$B$10)</f>
        <v>0</v>
      </c>
      <c r="E123" s="35" t="n">
        <f aca="false">(E98)*(1-Assumptions!$B$10)</f>
        <v>0</v>
      </c>
      <c r="F123" s="35" t="n">
        <f aca="false">(F98)*(1-Assumptions!$B$10)</f>
        <v>0</v>
      </c>
      <c r="G123" s="35" t="n">
        <f aca="false">(G98)*(1-Assumptions!$B$10)</f>
        <v>0</v>
      </c>
      <c r="H123" s="35" t="n">
        <f aca="false">(H98)*(1-Assumptions!$B$10)</f>
        <v>0</v>
      </c>
      <c r="I123" s="35" t="n">
        <f aca="false">(I98)*(1-Assumptions!$B$10)</f>
        <v>0</v>
      </c>
      <c r="J123" s="35" t="n">
        <f aca="false">(J98)*(1-Assumptions!$B$10)</f>
        <v>0</v>
      </c>
      <c r="K123" s="35" t="n">
        <f aca="false">(K98)*(1-Assumptions!$B$10)</f>
        <v>0</v>
      </c>
      <c r="L123" s="35" t="n">
        <f aca="false">(L98)*(1-Assumptions!$B$10)</f>
        <v>0</v>
      </c>
      <c r="M123" s="35" t="n">
        <f aca="false">(M98)*(1-Assumptions!$B$10)</f>
        <v>0</v>
      </c>
      <c r="N123" s="35" t="n">
        <f aca="false">(N98)*(1-Assumptions!$B$10)</f>
        <v>0</v>
      </c>
      <c r="O123" s="35" t="n">
        <f aca="false">(O98)*(1-Assumptions!$B$10)</f>
        <v>0</v>
      </c>
      <c r="P123" s="35" t="n">
        <f aca="false">(P98)*(1-Assumptions!$B$10)</f>
        <v>0</v>
      </c>
      <c r="Q123" s="35" t="n">
        <f aca="false">(Q98)*(1-Assumptions!$B$10)</f>
        <v>0</v>
      </c>
      <c r="R123" s="35" t="n">
        <f aca="false">(R98)*(1-Assumptions!$B$10)</f>
        <v>0</v>
      </c>
      <c r="S123" s="35" t="n">
        <f aca="false">(S98)*(1-Assumptions!$B$10)</f>
        <v>0</v>
      </c>
      <c r="T123" s="35" t="n">
        <f aca="false">(T98)*(1-Assumptions!$B$10)</f>
        <v>0</v>
      </c>
      <c r="U123" s="35" t="n">
        <f aca="false">(U98)*(1-Assumptions!$B$10)</f>
        <v>0</v>
      </c>
      <c r="V123" s="35" t="n">
        <f aca="false">(V98)*(1-Assumptions!$B$10)</f>
        <v>0</v>
      </c>
      <c r="W123" s="35" t="n">
        <f aca="false">(W98)*(1-Assumptions!$B$10)</f>
        <v>0</v>
      </c>
      <c r="X123" s="35" t="n">
        <f aca="false">(X98)*(1-Assumptions!$B$10)</f>
        <v>0</v>
      </c>
      <c r="Y123" s="35" t="n">
        <f aca="false">(Y98)*(1-Assumptions!$B$10)</f>
        <v>0</v>
      </c>
      <c r="Z123" s="35" t="n">
        <f aca="false">(Z98)*(1-Assumptions!$B$10)</f>
        <v>0</v>
      </c>
    </row>
    <row r="124" customFormat="false" ht="15" hidden="false" customHeight="false" outlineLevel="0" collapsed="false">
      <c r="A124" s="6" t="s">
        <v>467</v>
      </c>
      <c r="C124" s="37" t="n">
        <f aca="false">SUM(C110:C115)</f>
        <v>0</v>
      </c>
      <c r="D124" s="37" t="n">
        <f aca="false">SUM(D110:D115)</f>
        <v>-22433.9114583333</v>
      </c>
      <c r="E124" s="37" t="n">
        <f aca="false">SUM(E110:E115)</f>
        <v>-3585.99479166667</v>
      </c>
      <c r="F124" s="37" t="n">
        <f aca="false">SUM(F110:F115)</f>
        <v>-1613.078125</v>
      </c>
      <c r="G124" s="37" t="n">
        <f aca="false">SUM(G110:G115)</f>
        <v>359.838541666667</v>
      </c>
      <c r="H124" s="37" t="n">
        <f aca="false">SUM(H110:H115)</f>
        <v>2332.75520833333</v>
      </c>
      <c r="I124" s="37" t="n">
        <f aca="false">SUM(I110:I115)</f>
        <v>4305.671875</v>
      </c>
      <c r="J124" s="37" t="n">
        <f aca="false">SUM(J110:J115)</f>
        <v>4305.671875</v>
      </c>
      <c r="K124" s="37" t="n">
        <f aca="false">SUM(K110:K115)</f>
        <v>4305.671875</v>
      </c>
      <c r="L124" s="37" t="n">
        <f aca="false">SUM(L110:L115)</f>
        <v>4305.671875</v>
      </c>
      <c r="M124" s="37" t="n">
        <f aca="false">SUM(M110:M115)</f>
        <v>4305.671875</v>
      </c>
      <c r="N124" s="37" t="n">
        <f aca="false">SUM(N110:N115)</f>
        <v>4305.671875</v>
      </c>
      <c r="O124" s="37" t="n">
        <f aca="false">SUM(O110:O115)</f>
        <v>4305.671875</v>
      </c>
      <c r="P124" s="37" t="n">
        <f aca="false">SUM(P110:P115)</f>
        <v>4305.671875</v>
      </c>
      <c r="Q124" s="37" t="n">
        <f aca="false">SUM(Q110:Q115)</f>
        <v>4305.671875</v>
      </c>
      <c r="R124" s="37" t="n">
        <f aca="false">SUM(R110:R115)</f>
        <v>4305.671875</v>
      </c>
      <c r="S124" s="37" t="n">
        <f aca="false">SUM(S110:S115)</f>
        <v>4305.671875</v>
      </c>
      <c r="T124" s="37" t="n">
        <f aca="false">SUM(T110:T115)</f>
        <v>4305.671875</v>
      </c>
      <c r="U124" s="37" t="n">
        <f aca="false">SUM(U110:U115)</f>
        <v>4305.671875</v>
      </c>
      <c r="V124" s="37" t="n">
        <f aca="false">SUM(V110:V115)</f>
        <v>4305.671875</v>
      </c>
      <c r="W124" s="37" t="n">
        <f aca="false">SUM(W110:W115)</f>
        <v>4305.671875</v>
      </c>
      <c r="X124" s="37" t="n">
        <f aca="false">SUM(X110:X115)</f>
        <v>4305.671875</v>
      </c>
      <c r="Y124" s="37" t="n">
        <f aca="false">SUM(Y110:Y115)</f>
        <v>4305.671875</v>
      </c>
      <c r="Z124" s="37" t="n">
        <f aca="false">SUM(Z110:Z115)</f>
        <v>4305.671875</v>
      </c>
    </row>
    <row r="125" customFormat="false" ht="15" hidden="false" customHeight="false" outlineLevel="0" collapsed="false">
      <c r="A125" s="6" t="s">
        <v>468</v>
      </c>
      <c r="C125" s="37" t="n">
        <f aca="false">SUM(C116:C119)</f>
        <v>0</v>
      </c>
      <c r="D125" s="37" t="n">
        <f aca="false">SUM(D116:D119)</f>
        <v>0</v>
      </c>
      <c r="E125" s="37" t="n">
        <f aca="false">SUM(E116:E119)</f>
        <v>-205763.333333333</v>
      </c>
      <c r="F125" s="37" t="n">
        <f aca="false">SUM(F116:F119)</f>
        <v>8194.16666666667</v>
      </c>
      <c r="G125" s="37" t="n">
        <f aca="false">SUM(G116:G119)</f>
        <v>10631.6666666667</v>
      </c>
      <c r="H125" s="37" t="n">
        <f aca="false">SUM(H116:H119)</f>
        <v>13069.1666666667</v>
      </c>
      <c r="I125" s="37" t="n">
        <f aca="false">SUM(I116:I119)</f>
        <v>13069.1666666667</v>
      </c>
      <c r="J125" s="37" t="n">
        <f aca="false">SUM(J116:J119)</f>
        <v>13069.1666666667</v>
      </c>
      <c r="K125" s="37" t="n">
        <f aca="false">SUM(K116:K119)</f>
        <v>13069.1666666667</v>
      </c>
      <c r="L125" s="37" t="n">
        <f aca="false">SUM(L116:L119)</f>
        <v>13069.1666666667</v>
      </c>
      <c r="M125" s="37" t="n">
        <f aca="false">SUM(M116:M119)</f>
        <v>13069.1666666667</v>
      </c>
      <c r="N125" s="37" t="n">
        <f aca="false">SUM(N116:N119)</f>
        <v>13069.1666666667</v>
      </c>
      <c r="O125" s="37" t="n">
        <f aca="false">SUM(O116:O119)</f>
        <v>13069.1666666667</v>
      </c>
      <c r="P125" s="37" t="n">
        <f aca="false">SUM(P116:P119)</f>
        <v>13069.1666666667</v>
      </c>
      <c r="Q125" s="37" t="n">
        <f aca="false">SUM(Q116:Q119)</f>
        <v>8662.5</v>
      </c>
      <c r="R125" s="37" t="n">
        <f aca="false">SUM(R116:R119)</f>
        <v>8662.5</v>
      </c>
      <c r="S125" s="37" t="n">
        <f aca="false">SUM(S116:S119)</f>
        <v>8662.5</v>
      </c>
      <c r="T125" s="37" t="n">
        <f aca="false">SUM(T116:T119)</f>
        <v>8662.5</v>
      </c>
      <c r="U125" s="37" t="n">
        <f aca="false">SUM(U116:U119)</f>
        <v>8662.5</v>
      </c>
      <c r="V125" s="37" t="n">
        <f aca="false">SUM(V116:V119)</f>
        <v>8662.5</v>
      </c>
      <c r="W125" s="37" t="n">
        <f aca="false">SUM(W116:W119)</f>
        <v>8662.5</v>
      </c>
      <c r="X125" s="37" t="n">
        <f aca="false">SUM(X116:X119)</f>
        <v>8662.5</v>
      </c>
      <c r="Y125" s="37" t="n">
        <f aca="false">SUM(Y116:Y119)</f>
        <v>8662.5</v>
      </c>
      <c r="Z125" s="37" t="n">
        <f aca="false">SUM(Z116:Z119)</f>
        <v>8662.5</v>
      </c>
    </row>
    <row r="126" customFormat="false" ht="15" hidden="false" customHeight="false" outlineLevel="0" collapsed="false">
      <c r="A126" s="6" t="s">
        <v>469</v>
      </c>
      <c r="C126" s="37" t="n">
        <f aca="false">SUM(C120:C123)</f>
        <v>0</v>
      </c>
      <c r="D126" s="37" t="n">
        <f aca="false">SUM(D120:D123)</f>
        <v>0</v>
      </c>
      <c r="E126" s="37" t="n">
        <f aca="false">SUM(E120:E123)</f>
        <v>0</v>
      </c>
      <c r="F126" s="37" t="n">
        <f aca="false">SUM(F120:F123)</f>
        <v>0</v>
      </c>
      <c r="G126" s="37" t="n">
        <f aca="false">SUM(G120:G123)</f>
        <v>0</v>
      </c>
      <c r="H126" s="37" t="n">
        <f aca="false">SUM(H120:H123)</f>
        <v>0</v>
      </c>
      <c r="I126" s="37" t="n">
        <f aca="false">SUM(I120:I123)</f>
        <v>0</v>
      </c>
      <c r="J126" s="37" t="n">
        <f aca="false">SUM(J120:J123)</f>
        <v>0</v>
      </c>
      <c r="K126" s="37" t="n">
        <f aca="false">SUM(K120:K123)</f>
        <v>0</v>
      </c>
      <c r="L126" s="37" t="n">
        <f aca="false">SUM(L120:L123)</f>
        <v>0</v>
      </c>
      <c r="M126" s="37" t="n">
        <f aca="false">SUM(M120:M123)</f>
        <v>0</v>
      </c>
      <c r="N126" s="37" t="n">
        <f aca="false">SUM(N120:N123)</f>
        <v>0</v>
      </c>
      <c r="O126" s="37" t="n">
        <f aca="false">SUM(O120:O123)</f>
        <v>0</v>
      </c>
      <c r="P126" s="37" t="n">
        <f aca="false">SUM(P120:P123)</f>
        <v>0</v>
      </c>
      <c r="Q126" s="37" t="n">
        <f aca="false">SUM(Q120:Q123)</f>
        <v>0</v>
      </c>
      <c r="R126" s="37" t="n">
        <f aca="false">SUM(R120:R123)</f>
        <v>0</v>
      </c>
      <c r="S126" s="37" t="n">
        <f aca="false">SUM(S120:S123)</f>
        <v>0</v>
      </c>
      <c r="T126" s="37" t="n">
        <f aca="false">SUM(T120:T123)</f>
        <v>0</v>
      </c>
      <c r="U126" s="37" t="n">
        <f aca="false">SUM(U120:U123)</f>
        <v>0</v>
      </c>
      <c r="V126" s="37" t="n">
        <f aca="false">SUM(V120:V123)</f>
        <v>0</v>
      </c>
      <c r="W126" s="37" t="n">
        <f aca="false">SUM(W120:W123)</f>
        <v>0</v>
      </c>
      <c r="X126" s="37" t="n">
        <f aca="false">SUM(X120:X123)</f>
        <v>0</v>
      </c>
      <c r="Y126" s="37" t="n">
        <f aca="false">SUM(Y120:Y123)</f>
        <v>0</v>
      </c>
      <c r="Z126" s="37" t="n">
        <f aca="false">SUM(Z120:Z123)</f>
        <v>0</v>
      </c>
    </row>
    <row r="127" customFormat="false" ht="15" hidden="false" customHeight="false" outlineLevel="0" collapsed="false">
      <c r="A127" s="6" t="s">
        <v>470</v>
      </c>
      <c r="C127" s="37" t="n">
        <f aca="false">C124+C125+C126</f>
        <v>0</v>
      </c>
      <c r="D127" s="37" t="n">
        <f aca="false">D124+D125+D126</f>
        <v>-22433.9114583333</v>
      </c>
      <c r="E127" s="37" t="n">
        <f aca="false">E124+E125+E126</f>
        <v>-209349.328125</v>
      </c>
      <c r="F127" s="37" t="n">
        <f aca="false">F124+F125+F126</f>
        <v>6581.08854166667</v>
      </c>
      <c r="G127" s="37" t="n">
        <f aca="false">G124+G125+G126</f>
        <v>10991.5052083333</v>
      </c>
      <c r="H127" s="37" t="n">
        <f aca="false">H124+H125+H126</f>
        <v>15401.921875</v>
      </c>
      <c r="I127" s="37" t="n">
        <f aca="false">I124+I125+I126</f>
        <v>17374.8385416667</v>
      </c>
      <c r="J127" s="37" t="n">
        <f aca="false">J124+J125+J126</f>
        <v>17374.8385416667</v>
      </c>
      <c r="K127" s="37" t="n">
        <f aca="false">K124+K125+K126</f>
        <v>17374.8385416667</v>
      </c>
      <c r="L127" s="37" t="n">
        <f aca="false">L124+L125+L126</f>
        <v>17374.8385416667</v>
      </c>
      <c r="M127" s="37" t="n">
        <f aca="false">M124+M125+M126</f>
        <v>17374.8385416667</v>
      </c>
      <c r="N127" s="37" t="n">
        <f aca="false">N124+N125+N126</f>
        <v>17374.8385416667</v>
      </c>
      <c r="O127" s="37" t="n">
        <f aca="false">O124+O125+O126</f>
        <v>17374.8385416667</v>
      </c>
      <c r="P127" s="37" t="n">
        <f aca="false">P124+P125+P126</f>
        <v>17374.8385416667</v>
      </c>
      <c r="Q127" s="37" t="n">
        <f aca="false">Q124+Q125+Q126</f>
        <v>12968.171875</v>
      </c>
      <c r="R127" s="37" t="n">
        <f aca="false">R124+R125+R126</f>
        <v>12968.171875</v>
      </c>
      <c r="S127" s="37" t="n">
        <f aca="false">S124+S125+S126</f>
        <v>12968.171875</v>
      </c>
      <c r="T127" s="37" t="n">
        <f aca="false">T124+T125+T126</f>
        <v>12968.171875</v>
      </c>
      <c r="U127" s="37" t="n">
        <f aca="false">U124+U125+U126</f>
        <v>12968.171875</v>
      </c>
      <c r="V127" s="37" t="n">
        <f aca="false">V124+V125+V126</f>
        <v>12968.171875</v>
      </c>
      <c r="W127" s="37" t="n">
        <f aca="false">W124+W125+W126</f>
        <v>12968.171875</v>
      </c>
      <c r="X127" s="37" t="n">
        <f aca="false">X124+X125+X126</f>
        <v>12968.171875</v>
      </c>
      <c r="Y127" s="37" t="n">
        <f aca="false">Y124+Y125+Y126</f>
        <v>12968.171875</v>
      </c>
      <c r="Z127" s="37" t="n">
        <f aca="false">Z124+Z125+Z126</f>
        <v>12968.171875</v>
      </c>
    </row>
    <row r="128" customFormat="false" ht="15" hidden="false" customHeight="false" outlineLevel="0" collapsed="false">
      <c r="A128" s="4" t="s">
        <v>471</v>
      </c>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ustomFormat="false" ht="15" hidden="false" customHeight="false" outlineLevel="0" collapsed="false">
      <c r="A129" s="11" t="s">
        <v>472</v>
      </c>
      <c r="C129" s="35" t="n">
        <f aca="false">C110</f>
        <v>0</v>
      </c>
      <c r="D129" s="35" t="n">
        <f aca="false">C129+D110</f>
        <v>-22433.9114583333</v>
      </c>
      <c r="E129" s="35" t="n">
        <f aca="false">D129+E110</f>
        <v>-26019.90625</v>
      </c>
      <c r="F129" s="35" t="n">
        <f aca="false">E129+F110</f>
        <v>-27632.984375</v>
      </c>
      <c r="G129" s="35" t="n">
        <f aca="false">F129+G110</f>
        <v>-27273.1458333333</v>
      </c>
      <c r="H129" s="35" t="n">
        <f aca="false">G129+H110</f>
        <v>-24940.390625</v>
      </c>
      <c r="I129" s="35" t="n">
        <f aca="false">H129+I110</f>
        <v>-20634.71875</v>
      </c>
      <c r="J129" s="35" t="n">
        <f aca="false">I129+J110</f>
        <v>-16329.046875</v>
      </c>
      <c r="K129" s="35" t="n">
        <f aca="false">J129+K110</f>
        <v>-12023.375</v>
      </c>
      <c r="L129" s="35" t="n">
        <f aca="false">K129+L110</f>
        <v>-7717.703125</v>
      </c>
      <c r="M129" s="35" t="n">
        <f aca="false">L129+M110</f>
        <v>-3412.03125</v>
      </c>
      <c r="N129" s="35" t="n">
        <f aca="false">M129+N110</f>
        <v>893.640625</v>
      </c>
      <c r="O129" s="35" t="n">
        <f aca="false">N129+O110</f>
        <v>5199.3125</v>
      </c>
      <c r="P129" s="35" t="n">
        <f aca="false">O129+P110</f>
        <v>9504.984375</v>
      </c>
      <c r="Q129" s="35" t="n">
        <f aca="false">P129+Q110</f>
        <v>13810.65625</v>
      </c>
      <c r="R129" s="35" t="n">
        <f aca="false">Q129+R110</f>
        <v>18116.328125</v>
      </c>
      <c r="S129" s="35" t="n">
        <f aca="false">R129+S110</f>
        <v>22422</v>
      </c>
      <c r="T129" s="35" t="n">
        <f aca="false">S129+T110</f>
        <v>26727.671875</v>
      </c>
      <c r="U129" s="35" t="n">
        <f aca="false">T129+U110</f>
        <v>31033.34375</v>
      </c>
      <c r="V129" s="35" t="n">
        <f aca="false">U129+V110</f>
        <v>35339.015625</v>
      </c>
      <c r="W129" s="35" t="n">
        <f aca="false">V129+W110</f>
        <v>39644.6875</v>
      </c>
      <c r="X129" s="35" t="n">
        <f aca="false">W129+X110</f>
        <v>43950.359375</v>
      </c>
      <c r="Y129" s="35" t="n">
        <f aca="false">X129+Y110</f>
        <v>48256.03125</v>
      </c>
      <c r="Z129" s="35" t="n">
        <f aca="false">Y129+Z110</f>
        <v>52561.703125</v>
      </c>
    </row>
    <row r="130" customFormat="false" ht="15" hidden="false" customHeight="false" outlineLevel="0" collapsed="false">
      <c r="A130" s="11" t="s">
        <v>473</v>
      </c>
      <c r="C130" s="35" t="n">
        <f aca="false">C111</f>
        <v>0</v>
      </c>
      <c r="D130" s="35" t="n">
        <f aca="false">C130+D111</f>
        <v>0</v>
      </c>
      <c r="E130" s="35" t="n">
        <f aca="false">D130+E111</f>
        <v>0</v>
      </c>
      <c r="F130" s="35" t="n">
        <f aca="false">E130+F111</f>
        <v>0</v>
      </c>
      <c r="G130" s="35" t="n">
        <f aca="false">F130+G111</f>
        <v>0</v>
      </c>
      <c r="H130" s="35" t="n">
        <f aca="false">G130+H111</f>
        <v>0</v>
      </c>
      <c r="I130" s="35" t="n">
        <f aca="false">H130+I111</f>
        <v>0</v>
      </c>
      <c r="J130" s="35" t="n">
        <f aca="false">I130+J111</f>
        <v>0</v>
      </c>
      <c r="K130" s="35" t="n">
        <f aca="false">J130+K111</f>
        <v>0</v>
      </c>
      <c r="L130" s="35" t="n">
        <f aca="false">K130+L111</f>
        <v>0</v>
      </c>
      <c r="M130" s="35" t="n">
        <f aca="false">L130+M111</f>
        <v>0</v>
      </c>
      <c r="N130" s="35" t="n">
        <f aca="false">M130+N111</f>
        <v>0</v>
      </c>
      <c r="O130" s="35" t="n">
        <f aca="false">N130+O111</f>
        <v>0</v>
      </c>
      <c r="P130" s="35" t="n">
        <f aca="false">O130+P111</f>
        <v>0</v>
      </c>
      <c r="Q130" s="35" t="n">
        <f aca="false">P130+Q111</f>
        <v>0</v>
      </c>
      <c r="R130" s="35" t="n">
        <f aca="false">Q130+R111</f>
        <v>0</v>
      </c>
      <c r="S130" s="35" t="n">
        <f aca="false">R130+S111</f>
        <v>0</v>
      </c>
      <c r="T130" s="35" t="n">
        <f aca="false">S130+T111</f>
        <v>0</v>
      </c>
      <c r="U130" s="35" t="n">
        <f aca="false">T130+U111</f>
        <v>0</v>
      </c>
      <c r="V130" s="35" t="n">
        <f aca="false">U130+V111</f>
        <v>0</v>
      </c>
      <c r="W130" s="35" t="n">
        <f aca="false">V130+W111</f>
        <v>0</v>
      </c>
      <c r="X130" s="35" t="n">
        <f aca="false">W130+X111</f>
        <v>0</v>
      </c>
      <c r="Y130" s="35" t="n">
        <f aca="false">X130+Y111</f>
        <v>0</v>
      </c>
      <c r="Z130" s="35" t="n">
        <f aca="false">Y130+Z111</f>
        <v>0</v>
      </c>
    </row>
    <row r="131" customFormat="false" ht="15" hidden="false" customHeight="false" outlineLevel="0" collapsed="false">
      <c r="A131" s="11" t="s">
        <v>474</v>
      </c>
      <c r="C131" s="35" t="n">
        <f aca="false">C112</f>
        <v>0</v>
      </c>
      <c r="D131" s="35" t="n">
        <f aca="false">C131+D112</f>
        <v>0</v>
      </c>
      <c r="E131" s="35" t="n">
        <f aca="false">D131+E112</f>
        <v>0</v>
      </c>
      <c r="F131" s="35" t="n">
        <f aca="false">E131+F112</f>
        <v>0</v>
      </c>
      <c r="G131" s="35" t="n">
        <f aca="false">F131+G112</f>
        <v>0</v>
      </c>
      <c r="H131" s="35" t="n">
        <f aca="false">G131+H112</f>
        <v>0</v>
      </c>
      <c r="I131" s="35" t="n">
        <f aca="false">H131+I112</f>
        <v>0</v>
      </c>
      <c r="J131" s="35" t="n">
        <f aca="false">I131+J112</f>
        <v>0</v>
      </c>
      <c r="K131" s="35" t="n">
        <f aca="false">J131+K112</f>
        <v>0</v>
      </c>
      <c r="L131" s="35" t="n">
        <f aca="false">K131+L112</f>
        <v>0</v>
      </c>
      <c r="M131" s="35" t="n">
        <f aca="false">L131+M112</f>
        <v>0</v>
      </c>
      <c r="N131" s="35" t="n">
        <f aca="false">M131+N112</f>
        <v>0</v>
      </c>
      <c r="O131" s="35" t="n">
        <f aca="false">N131+O112</f>
        <v>0</v>
      </c>
      <c r="P131" s="35" t="n">
        <f aca="false">O131+P112</f>
        <v>0</v>
      </c>
      <c r="Q131" s="35" t="n">
        <f aca="false">P131+Q112</f>
        <v>0</v>
      </c>
      <c r="R131" s="35" t="n">
        <f aca="false">Q131+R112</f>
        <v>0</v>
      </c>
      <c r="S131" s="35" t="n">
        <f aca="false">R131+S112</f>
        <v>0</v>
      </c>
      <c r="T131" s="35" t="n">
        <f aca="false">S131+T112</f>
        <v>0</v>
      </c>
      <c r="U131" s="35" t="n">
        <f aca="false">T131+U112</f>
        <v>0</v>
      </c>
      <c r="V131" s="35" t="n">
        <f aca="false">U131+V112</f>
        <v>0</v>
      </c>
      <c r="W131" s="35" t="n">
        <f aca="false">V131+W112</f>
        <v>0</v>
      </c>
      <c r="X131" s="35" t="n">
        <f aca="false">W131+X112</f>
        <v>0</v>
      </c>
      <c r="Y131" s="35" t="n">
        <f aca="false">X131+Y112</f>
        <v>0</v>
      </c>
      <c r="Z131" s="35" t="n">
        <f aca="false">Y131+Z112</f>
        <v>0</v>
      </c>
    </row>
    <row r="132" customFormat="false" ht="15" hidden="false" customHeight="false" outlineLevel="0" collapsed="false">
      <c r="A132" s="11" t="s">
        <v>475</v>
      </c>
      <c r="C132" s="35" t="n">
        <f aca="false">C113</f>
        <v>0</v>
      </c>
      <c r="D132" s="35" t="n">
        <f aca="false">C132+D113</f>
        <v>0</v>
      </c>
      <c r="E132" s="35" t="n">
        <f aca="false">D132+E113</f>
        <v>0</v>
      </c>
      <c r="F132" s="35" t="n">
        <f aca="false">E132+F113</f>
        <v>0</v>
      </c>
      <c r="G132" s="35" t="n">
        <f aca="false">F132+G113</f>
        <v>0</v>
      </c>
      <c r="H132" s="35" t="n">
        <f aca="false">G132+H113</f>
        <v>0</v>
      </c>
      <c r="I132" s="35" t="n">
        <f aca="false">H132+I113</f>
        <v>0</v>
      </c>
      <c r="J132" s="35" t="n">
        <f aca="false">I132+J113</f>
        <v>0</v>
      </c>
      <c r="K132" s="35" t="n">
        <f aca="false">J132+K113</f>
        <v>0</v>
      </c>
      <c r="L132" s="35" t="n">
        <f aca="false">K132+L113</f>
        <v>0</v>
      </c>
      <c r="M132" s="35" t="n">
        <f aca="false">L132+M113</f>
        <v>0</v>
      </c>
      <c r="N132" s="35" t="n">
        <f aca="false">M132+N113</f>
        <v>0</v>
      </c>
      <c r="O132" s="35" t="n">
        <f aca="false">N132+O113</f>
        <v>0</v>
      </c>
      <c r="P132" s="35" t="n">
        <f aca="false">O132+P113</f>
        <v>0</v>
      </c>
      <c r="Q132" s="35" t="n">
        <f aca="false">P132+Q113</f>
        <v>0</v>
      </c>
      <c r="R132" s="35" t="n">
        <f aca="false">Q132+R113</f>
        <v>0</v>
      </c>
      <c r="S132" s="35" t="n">
        <f aca="false">R132+S113</f>
        <v>0</v>
      </c>
      <c r="T132" s="35" t="n">
        <f aca="false">S132+T113</f>
        <v>0</v>
      </c>
      <c r="U132" s="35" t="n">
        <f aca="false">T132+U113</f>
        <v>0</v>
      </c>
      <c r="V132" s="35" t="n">
        <f aca="false">U132+V113</f>
        <v>0</v>
      </c>
      <c r="W132" s="35" t="n">
        <f aca="false">V132+W113</f>
        <v>0</v>
      </c>
      <c r="X132" s="35" t="n">
        <f aca="false">W132+X113</f>
        <v>0</v>
      </c>
      <c r="Y132" s="35" t="n">
        <f aca="false">X132+Y113</f>
        <v>0</v>
      </c>
      <c r="Z132" s="35" t="n">
        <f aca="false">Y132+Z113</f>
        <v>0</v>
      </c>
    </row>
    <row r="133" customFormat="false" ht="15" hidden="false" customHeight="false" outlineLevel="0" collapsed="false">
      <c r="A133" s="11" t="s">
        <v>476</v>
      </c>
      <c r="C133" s="35" t="n">
        <f aca="false">C114</f>
        <v>0</v>
      </c>
      <c r="D133" s="35" t="n">
        <f aca="false">C133+D114</f>
        <v>0</v>
      </c>
      <c r="E133" s="35" t="n">
        <f aca="false">D133+E114</f>
        <v>0</v>
      </c>
      <c r="F133" s="35" t="n">
        <f aca="false">E133+F114</f>
        <v>0</v>
      </c>
      <c r="G133" s="35" t="n">
        <f aca="false">F133+G114</f>
        <v>0</v>
      </c>
      <c r="H133" s="35" t="n">
        <f aca="false">G133+H114</f>
        <v>0</v>
      </c>
      <c r="I133" s="35" t="n">
        <f aca="false">H133+I114</f>
        <v>0</v>
      </c>
      <c r="J133" s="35" t="n">
        <f aca="false">I133+J114</f>
        <v>0</v>
      </c>
      <c r="K133" s="35" t="n">
        <f aca="false">J133+K114</f>
        <v>0</v>
      </c>
      <c r="L133" s="35" t="n">
        <f aca="false">K133+L114</f>
        <v>0</v>
      </c>
      <c r="M133" s="35" t="n">
        <f aca="false">L133+M114</f>
        <v>0</v>
      </c>
      <c r="N133" s="35" t="n">
        <f aca="false">M133+N114</f>
        <v>0</v>
      </c>
      <c r="O133" s="35" t="n">
        <f aca="false">N133+O114</f>
        <v>0</v>
      </c>
      <c r="P133" s="35" t="n">
        <f aca="false">O133+P114</f>
        <v>0</v>
      </c>
      <c r="Q133" s="35" t="n">
        <f aca="false">P133+Q114</f>
        <v>0</v>
      </c>
      <c r="R133" s="35" t="n">
        <f aca="false">Q133+R114</f>
        <v>0</v>
      </c>
      <c r="S133" s="35" t="n">
        <f aca="false">R133+S114</f>
        <v>0</v>
      </c>
      <c r="T133" s="35" t="n">
        <f aca="false">S133+T114</f>
        <v>0</v>
      </c>
      <c r="U133" s="35" t="n">
        <f aca="false">T133+U114</f>
        <v>0</v>
      </c>
      <c r="V133" s="35" t="n">
        <f aca="false">U133+V114</f>
        <v>0</v>
      </c>
      <c r="W133" s="35" t="n">
        <f aca="false">V133+W114</f>
        <v>0</v>
      </c>
      <c r="X133" s="35" t="n">
        <f aca="false">W133+X114</f>
        <v>0</v>
      </c>
      <c r="Y133" s="35" t="n">
        <f aca="false">X133+Y114</f>
        <v>0</v>
      </c>
      <c r="Z133" s="35" t="n">
        <f aca="false">Y133+Z114</f>
        <v>0</v>
      </c>
    </row>
    <row r="134" customFormat="false" ht="15" hidden="false" customHeight="false" outlineLevel="0" collapsed="false">
      <c r="A134" s="11" t="s">
        <v>477</v>
      </c>
      <c r="C134" s="35" t="n">
        <f aca="false">C115</f>
        <v>0</v>
      </c>
      <c r="D134" s="35" t="n">
        <f aca="false">C134+D115</f>
        <v>0</v>
      </c>
      <c r="E134" s="35" t="n">
        <f aca="false">D134+E115</f>
        <v>0</v>
      </c>
      <c r="F134" s="35" t="n">
        <f aca="false">E134+F115</f>
        <v>0</v>
      </c>
      <c r="G134" s="35" t="n">
        <f aca="false">F134+G115</f>
        <v>0</v>
      </c>
      <c r="H134" s="35" t="n">
        <f aca="false">G134+H115</f>
        <v>0</v>
      </c>
      <c r="I134" s="35" t="n">
        <f aca="false">H134+I115</f>
        <v>0</v>
      </c>
      <c r="J134" s="35" t="n">
        <f aca="false">I134+J115</f>
        <v>0</v>
      </c>
      <c r="K134" s="35" t="n">
        <f aca="false">J134+K115</f>
        <v>0</v>
      </c>
      <c r="L134" s="35" t="n">
        <f aca="false">K134+L115</f>
        <v>0</v>
      </c>
      <c r="M134" s="35" t="n">
        <f aca="false">L134+M115</f>
        <v>0</v>
      </c>
      <c r="N134" s="35" t="n">
        <f aca="false">M134+N115</f>
        <v>0</v>
      </c>
      <c r="O134" s="35" t="n">
        <f aca="false">N134+O115</f>
        <v>0</v>
      </c>
      <c r="P134" s="35" t="n">
        <f aca="false">O134+P115</f>
        <v>0</v>
      </c>
      <c r="Q134" s="35" t="n">
        <f aca="false">P134+Q115</f>
        <v>0</v>
      </c>
      <c r="R134" s="35" t="n">
        <f aca="false">Q134+R115</f>
        <v>0</v>
      </c>
      <c r="S134" s="35" t="n">
        <f aca="false">R134+S115</f>
        <v>0</v>
      </c>
      <c r="T134" s="35" t="n">
        <f aca="false">S134+T115</f>
        <v>0</v>
      </c>
      <c r="U134" s="35" t="n">
        <f aca="false">T134+U115</f>
        <v>0</v>
      </c>
      <c r="V134" s="35" t="n">
        <f aca="false">U134+V115</f>
        <v>0</v>
      </c>
      <c r="W134" s="35" t="n">
        <f aca="false">V134+W115</f>
        <v>0</v>
      </c>
      <c r="X134" s="35" t="n">
        <f aca="false">W134+X115</f>
        <v>0</v>
      </c>
      <c r="Y134" s="35" t="n">
        <f aca="false">X134+Y115</f>
        <v>0</v>
      </c>
      <c r="Z134" s="35" t="n">
        <f aca="false">Y134+Z115</f>
        <v>0</v>
      </c>
    </row>
    <row r="135" customFormat="false" ht="15" hidden="false" customHeight="false" outlineLevel="0" collapsed="false">
      <c r="A135" s="11" t="s">
        <v>478</v>
      </c>
      <c r="C135" s="35" t="n">
        <f aca="false">C116</f>
        <v>0</v>
      </c>
      <c r="D135" s="35" t="n">
        <f aca="false">C135+D116</f>
        <v>0</v>
      </c>
      <c r="E135" s="35" t="n">
        <f aca="false">D135+E116</f>
        <v>-205763.333333333</v>
      </c>
      <c r="F135" s="35" t="n">
        <f aca="false">E135+F116</f>
        <v>-197569.166666667</v>
      </c>
      <c r="G135" s="35" t="n">
        <f aca="false">F135+G116</f>
        <v>-186937.5</v>
      </c>
      <c r="H135" s="35" t="n">
        <f aca="false">G135+H116</f>
        <v>-173868.333333333</v>
      </c>
      <c r="I135" s="35" t="n">
        <f aca="false">H135+I116</f>
        <v>-160799.166666667</v>
      </c>
      <c r="J135" s="35" t="n">
        <f aca="false">I135+J116</f>
        <v>-147730</v>
      </c>
      <c r="K135" s="35" t="n">
        <f aca="false">J135+K116</f>
        <v>-134660.833333333</v>
      </c>
      <c r="L135" s="35" t="n">
        <f aca="false">K135+L116</f>
        <v>-121591.666666667</v>
      </c>
      <c r="M135" s="35" t="n">
        <f aca="false">L135+M116</f>
        <v>-108522.5</v>
      </c>
      <c r="N135" s="35" t="n">
        <f aca="false">M135+N116</f>
        <v>-95453.3333333334</v>
      </c>
      <c r="O135" s="35" t="n">
        <f aca="false">N135+O116</f>
        <v>-82384.1666666667</v>
      </c>
      <c r="P135" s="35" t="n">
        <f aca="false">O135+P116</f>
        <v>-69315</v>
      </c>
      <c r="Q135" s="35" t="n">
        <f aca="false">P135+Q116</f>
        <v>-60652.5</v>
      </c>
      <c r="R135" s="35" t="n">
        <f aca="false">Q135+R116</f>
        <v>-51990</v>
      </c>
      <c r="S135" s="35" t="n">
        <f aca="false">R135+S116</f>
        <v>-43327.5</v>
      </c>
      <c r="T135" s="35" t="n">
        <f aca="false">S135+T116</f>
        <v>-34665</v>
      </c>
      <c r="U135" s="35" t="n">
        <f aca="false">T135+U116</f>
        <v>-26002.5</v>
      </c>
      <c r="V135" s="35" t="n">
        <f aca="false">U135+V116</f>
        <v>-17340</v>
      </c>
      <c r="W135" s="35" t="n">
        <f aca="false">V135+W116</f>
        <v>-8677.50000000004</v>
      </c>
      <c r="X135" s="35" t="n">
        <f aca="false">W135+X116</f>
        <v>-15.0000000000437</v>
      </c>
      <c r="Y135" s="35" t="n">
        <f aca="false">X135+Y116</f>
        <v>8647.49999999996</v>
      </c>
      <c r="Z135" s="35" t="n">
        <f aca="false">Y135+Z116</f>
        <v>17310</v>
      </c>
    </row>
    <row r="136" customFormat="false" ht="15" hidden="false" customHeight="false" outlineLevel="0" collapsed="false">
      <c r="A136" s="11" t="s">
        <v>479</v>
      </c>
      <c r="C136" s="35" t="n">
        <f aca="false">C117</f>
        <v>0</v>
      </c>
      <c r="D136" s="35" t="n">
        <f aca="false">C136+D117</f>
        <v>0</v>
      </c>
      <c r="E136" s="35" t="n">
        <f aca="false">D136+E117</f>
        <v>0</v>
      </c>
      <c r="F136" s="35" t="n">
        <f aca="false">E136+F117</f>
        <v>0</v>
      </c>
      <c r="G136" s="35" t="n">
        <f aca="false">F136+G117</f>
        <v>0</v>
      </c>
      <c r="H136" s="35" t="n">
        <f aca="false">G136+H117</f>
        <v>0</v>
      </c>
      <c r="I136" s="35" t="n">
        <f aca="false">H136+I117</f>
        <v>0</v>
      </c>
      <c r="J136" s="35" t="n">
        <f aca="false">I136+J117</f>
        <v>0</v>
      </c>
      <c r="K136" s="35" t="n">
        <f aca="false">J136+K117</f>
        <v>0</v>
      </c>
      <c r="L136" s="35" t="n">
        <f aca="false">K136+L117</f>
        <v>0</v>
      </c>
      <c r="M136" s="35" t="n">
        <f aca="false">L136+M117</f>
        <v>0</v>
      </c>
      <c r="N136" s="35" t="n">
        <f aca="false">M136+N117</f>
        <v>0</v>
      </c>
      <c r="O136" s="35" t="n">
        <f aca="false">N136+O117</f>
        <v>0</v>
      </c>
      <c r="P136" s="35" t="n">
        <f aca="false">O136+P117</f>
        <v>0</v>
      </c>
      <c r="Q136" s="35" t="n">
        <f aca="false">P136+Q117</f>
        <v>0</v>
      </c>
      <c r="R136" s="35" t="n">
        <f aca="false">Q136+R117</f>
        <v>0</v>
      </c>
      <c r="S136" s="35" t="n">
        <f aca="false">R136+S117</f>
        <v>0</v>
      </c>
      <c r="T136" s="35" t="n">
        <f aca="false">S136+T117</f>
        <v>0</v>
      </c>
      <c r="U136" s="35" t="n">
        <f aca="false">T136+U117</f>
        <v>0</v>
      </c>
      <c r="V136" s="35" t="n">
        <f aca="false">U136+V117</f>
        <v>0</v>
      </c>
      <c r="W136" s="35" t="n">
        <f aca="false">V136+W117</f>
        <v>0</v>
      </c>
      <c r="X136" s="35" t="n">
        <f aca="false">W136+X117</f>
        <v>0</v>
      </c>
      <c r="Y136" s="35" t="n">
        <f aca="false">X136+Y117</f>
        <v>0</v>
      </c>
      <c r="Z136" s="35" t="n">
        <f aca="false">Y136+Z117</f>
        <v>0</v>
      </c>
    </row>
    <row r="137" customFormat="false" ht="15" hidden="false" customHeight="false" outlineLevel="0" collapsed="false">
      <c r="A137" s="11" t="s">
        <v>480</v>
      </c>
      <c r="C137" s="35" t="n">
        <f aca="false">C118</f>
        <v>0</v>
      </c>
      <c r="D137" s="35" t="n">
        <f aca="false">C137+D118</f>
        <v>0</v>
      </c>
      <c r="E137" s="35" t="n">
        <f aca="false">D137+E118</f>
        <v>0</v>
      </c>
      <c r="F137" s="35" t="n">
        <f aca="false">E137+F118</f>
        <v>0</v>
      </c>
      <c r="G137" s="35" t="n">
        <f aca="false">F137+G118</f>
        <v>0</v>
      </c>
      <c r="H137" s="35" t="n">
        <f aca="false">G137+H118</f>
        <v>0</v>
      </c>
      <c r="I137" s="35" t="n">
        <f aca="false">H137+I118</f>
        <v>0</v>
      </c>
      <c r="J137" s="35" t="n">
        <f aca="false">I137+J118</f>
        <v>0</v>
      </c>
      <c r="K137" s="35" t="n">
        <f aca="false">J137+K118</f>
        <v>0</v>
      </c>
      <c r="L137" s="35" t="n">
        <f aca="false">K137+L118</f>
        <v>0</v>
      </c>
      <c r="M137" s="35" t="n">
        <f aca="false">L137+M118</f>
        <v>0</v>
      </c>
      <c r="N137" s="35" t="n">
        <f aca="false">M137+N118</f>
        <v>0</v>
      </c>
      <c r="O137" s="35" t="n">
        <f aca="false">N137+O118</f>
        <v>0</v>
      </c>
      <c r="P137" s="35" t="n">
        <f aca="false">O137+P118</f>
        <v>0</v>
      </c>
      <c r="Q137" s="35" t="n">
        <f aca="false">P137+Q118</f>
        <v>0</v>
      </c>
      <c r="R137" s="35" t="n">
        <f aca="false">Q137+R118</f>
        <v>0</v>
      </c>
      <c r="S137" s="35" t="n">
        <f aca="false">R137+S118</f>
        <v>0</v>
      </c>
      <c r="T137" s="35" t="n">
        <f aca="false">S137+T118</f>
        <v>0</v>
      </c>
      <c r="U137" s="35" t="n">
        <f aca="false">T137+U118</f>
        <v>0</v>
      </c>
      <c r="V137" s="35" t="n">
        <f aca="false">U137+V118</f>
        <v>0</v>
      </c>
      <c r="W137" s="35" t="n">
        <f aca="false">V137+W118</f>
        <v>0</v>
      </c>
      <c r="X137" s="35" t="n">
        <f aca="false">W137+X118</f>
        <v>0</v>
      </c>
      <c r="Y137" s="35" t="n">
        <f aca="false">X137+Y118</f>
        <v>0</v>
      </c>
      <c r="Z137" s="35" t="n">
        <f aca="false">Y137+Z118</f>
        <v>0</v>
      </c>
    </row>
    <row r="138" customFormat="false" ht="15" hidden="false" customHeight="false" outlineLevel="0" collapsed="false">
      <c r="A138" s="11" t="s">
        <v>481</v>
      </c>
      <c r="C138" s="35" t="n">
        <f aca="false">C119</f>
        <v>0</v>
      </c>
      <c r="D138" s="35" t="n">
        <f aca="false">C138+D119</f>
        <v>0</v>
      </c>
      <c r="E138" s="35" t="n">
        <f aca="false">D138+E119</f>
        <v>0</v>
      </c>
      <c r="F138" s="35" t="n">
        <f aca="false">E138+F119</f>
        <v>0</v>
      </c>
      <c r="G138" s="35" t="n">
        <f aca="false">F138+G119</f>
        <v>0</v>
      </c>
      <c r="H138" s="35" t="n">
        <f aca="false">G138+H119</f>
        <v>0</v>
      </c>
      <c r="I138" s="35" t="n">
        <f aca="false">H138+I119</f>
        <v>0</v>
      </c>
      <c r="J138" s="35" t="n">
        <f aca="false">I138+J119</f>
        <v>0</v>
      </c>
      <c r="K138" s="35" t="n">
        <f aca="false">J138+K119</f>
        <v>0</v>
      </c>
      <c r="L138" s="35" t="n">
        <f aca="false">K138+L119</f>
        <v>0</v>
      </c>
      <c r="M138" s="35" t="n">
        <f aca="false">L138+M119</f>
        <v>0</v>
      </c>
      <c r="N138" s="35" t="n">
        <f aca="false">M138+N119</f>
        <v>0</v>
      </c>
      <c r="O138" s="35" t="n">
        <f aca="false">N138+O119</f>
        <v>0</v>
      </c>
      <c r="P138" s="35" t="n">
        <f aca="false">O138+P119</f>
        <v>0</v>
      </c>
      <c r="Q138" s="35" t="n">
        <f aca="false">P138+Q119</f>
        <v>0</v>
      </c>
      <c r="R138" s="35" t="n">
        <f aca="false">Q138+R119</f>
        <v>0</v>
      </c>
      <c r="S138" s="35" t="n">
        <f aca="false">R138+S119</f>
        <v>0</v>
      </c>
      <c r="T138" s="35" t="n">
        <f aca="false">S138+T119</f>
        <v>0</v>
      </c>
      <c r="U138" s="35" t="n">
        <f aca="false">T138+U119</f>
        <v>0</v>
      </c>
      <c r="V138" s="35" t="n">
        <f aca="false">U138+V119</f>
        <v>0</v>
      </c>
      <c r="W138" s="35" t="n">
        <f aca="false">V138+W119</f>
        <v>0</v>
      </c>
      <c r="X138" s="35" t="n">
        <f aca="false">W138+X119</f>
        <v>0</v>
      </c>
      <c r="Y138" s="35" t="n">
        <f aca="false">X138+Y119</f>
        <v>0</v>
      </c>
      <c r="Z138" s="35" t="n">
        <f aca="false">Y138+Z119</f>
        <v>0</v>
      </c>
    </row>
    <row r="139" customFormat="false" ht="15" hidden="false" customHeight="false" outlineLevel="0" collapsed="false">
      <c r="A139" s="11" t="s">
        <v>482</v>
      </c>
      <c r="C139" s="35" t="n">
        <f aca="false">C120</f>
        <v>0</v>
      </c>
      <c r="D139" s="35" t="n">
        <f aca="false">C139+D120</f>
        <v>0</v>
      </c>
      <c r="E139" s="35" t="n">
        <f aca="false">D139+E120</f>
        <v>0</v>
      </c>
      <c r="F139" s="35" t="n">
        <f aca="false">E139+F120</f>
        <v>0</v>
      </c>
      <c r="G139" s="35" t="n">
        <f aca="false">F139+G120</f>
        <v>0</v>
      </c>
      <c r="H139" s="35" t="n">
        <f aca="false">G139+H120</f>
        <v>0</v>
      </c>
      <c r="I139" s="35" t="n">
        <f aca="false">H139+I120</f>
        <v>0</v>
      </c>
      <c r="J139" s="35" t="n">
        <f aca="false">I139+J120</f>
        <v>0</v>
      </c>
      <c r="K139" s="35" t="n">
        <f aca="false">J139+K120</f>
        <v>0</v>
      </c>
      <c r="L139" s="35" t="n">
        <f aca="false">K139+L120</f>
        <v>0</v>
      </c>
      <c r="M139" s="35" t="n">
        <f aca="false">L139+M120</f>
        <v>0</v>
      </c>
      <c r="N139" s="35" t="n">
        <f aca="false">M139+N120</f>
        <v>0</v>
      </c>
      <c r="O139" s="35" t="n">
        <f aca="false">N139+O120</f>
        <v>0</v>
      </c>
      <c r="P139" s="35" t="n">
        <f aca="false">O139+P120</f>
        <v>0</v>
      </c>
      <c r="Q139" s="35" t="n">
        <f aca="false">P139+Q120</f>
        <v>0</v>
      </c>
      <c r="R139" s="35" t="n">
        <f aca="false">Q139+R120</f>
        <v>0</v>
      </c>
      <c r="S139" s="35" t="n">
        <f aca="false">R139+S120</f>
        <v>0</v>
      </c>
      <c r="T139" s="35" t="n">
        <f aca="false">S139+T120</f>
        <v>0</v>
      </c>
      <c r="U139" s="35" t="n">
        <f aca="false">T139+U120</f>
        <v>0</v>
      </c>
      <c r="V139" s="35" t="n">
        <f aca="false">U139+V120</f>
        <v>0</v>
      </c>
      <c r="W139" s="35" t="n">
        <f aca="false">V139+W120</f>
        <v>0</v>
      </c>
      <c r="X139" s="35" t="n">
        <f aca="false">W139+X120</f>
        <v>0</v>
      </c>
      <c r="Y139" s="35" t="n">
        <f aca="false">X139+Y120</f>
        <v>0</v>
      </c>
      <c r="Z139" s="35" t="n">
        <f aca="false">Y139+Z120</f>
        <v>0</v>
      </c>
    </row>
    <row r="140" customFormat="false" ht="15" hidden="false" customHeight="false" outlineLevel="0" collapsed="false">
      <c r="A140" s="11" t="s">
        <v>483</v>
      </c>
      <c r="C140" s="35" t="n">
        <f aca="false">C121</f>
        <v>0</v>
      </c>
      <c r="D140" s="35" t="n">
        <f aca="false">C140+D121</f>
        <v>0</v>
      </c>
      <c r="E140" s="35" t="n">
        <f aca="false">D140+E121</f>
        <v>0</v>
      </c>
      <c r="F140" s="35" t="n">
        <f aca="false">E140+F121</f>
        <v>0</v>
      </c>
      <c r="G140" s="35" t="n">
        <f aca="false">F140+G121</f>
        <v>0</v>
      </c>
      <c r="H140" s="35" t="n">
        <f aca="false">G140+H121</f>
        <v>0</v>
      </c>
      <c r="I140" s="35" t="n">
        <f aca="false">H140+I121</f>
        <v>0</v>
      </c>
      <c r="J140" s="35" t="n">
        <f aca="false">I140+J121</f>
        <v>0</v>
      </c>
      <c r="K140" s="35" t="n">
        <f aca="false">J140+K121</f>
        <v>0</v>
      </c>
      <c r="L140" s="35" t="n">
        <f aca="false">K140+L121</f>
        <v>0</v>
      </c>
      <c r="M140" s="35" t="n">
        <f aca="false">L140+M121</f>
        <v>0</v>
      </c>
      <c r="N140" s="35" t="n">
        <f aca="false">M140+N121</f>
        <v>0</v>
      </c>
      <c r="O140" s="35" t="n">
        <f aca="false">N140+O121</f>
        <v>0</v>
      </c>
      <c r="P140" s="35" t="n">
        <f aca="false">O140+P121</f>
        <v>0</v>
      </c>
      <c r="Q140" s="35" t="n">
        <f aca="false">P140+Q121</f>
        <v>0</v>
      </c>
      <c r="R140" s="35" t="n">
        <f aca="false">Q140+R121</f>
        <v>0</v>
      </c>
      <c r="S140" s="35" t="n">
        <f aca="false">R140+S121</f>
        <v>0</v>
      </c>
      <c r="T140" s="35" t="n">
        <f aca="false">S140+T121</f>
        <v>0</v>
      </c>
      <c r="U140" s="35" t="n">
        <f aca="false">T140+U121</f>
        <v>0</v>
      </c>
      <c r="V140" s="35" t="n">
        <f aca="false">U140+V121</f>
        <v>0</v>
      </c>
      <c r="W140" s="35" t="n">
        <f aca="false">V140+W121</f>
        <v>0</v>
      </c>
      <c r="X140" s="35" t="n">
        <f aca="false">W140+X121</f>
        <v>0</v>
      </c>
      <c r="Y140" s="35" t="n">
        <f aca="false">X140+Y121</f>
        <v>0</v>
      </c>
      <c r="Z140" s="35" t="n">
        <f aca="false">Y140+Z121</f>
        <v>0</v>
      </c>
    </row>
    <row r="141" customFormat="false" ht="15" hidden="false" customHeight="false" outlineLevel="0" collapsed="false">
      <c r="A141" s="11" t="s">
        <v>484</v>
      </c>
      <c r="C141" s="35" t="n">
        <f aca="false">C122</f>
        <v>0</v>
      </c>
      <c r="D141" s="35" t="n">
        <f aca="false">C141+D122</f>
        <v>0</v>
      </c>
      <c r="E141" s="35" t="n">
        <f aca="false">D141+E122</f>
        <v>0</v>
      </c>
      <c r="F141" s="35" t="n">
        <f aca="false">E141+F122</f>
        <v>0</v>
      </c>
      <c r="G141" s="35" t="n">
        <f aca="false">F141+G122</f>
        <v>0</v>
      </c>
      <c r="H141" s="35" t="n">
        <f aca="false">G141+H122</f>
        <v>0</v>
      </c>
      <c r="I141" s="35" t="n">
        <f aca="false">H141+I122</f>
        <v>0</v>
      </c>
      <c r="J141" s="35" t="n">
        <f aca="false">I141+J122</f>
        <v>0</v>
      </c>
      <c r="K141" s="35" t="n">
        <f aca="false">J141+K122</f>
        <v>0</v>
      </c>
      <c r="L141" s="35" t="n">
        <f aca="false">K141+L122</f>
        <v>0</v>
      </c>
      <c r="M141" s="35" t="n">
        <f aca="false">L141+M122</f>
        <v>0</v>
      </c>
      <c r="N141" s="35" t="n">
        <f aca="false">M141+N122</f>
        <v>0</v>
      </c>
      <c r="O141" s="35" t="n">
        <f aca="false">N141+O122</f>
        <v>0</v>
      </c>
      <c r="P141" s="35" t="n">
        <f aca="false">O141+P122</f>
        <v>0</v>
      </c>
      <c r="Q141" s="35" t="n">
        <f aca="false">P141+Q122</f>
        <v>0</v>
      </c>
      <c r="R141" s="35" t="n">
        <f aca="false">Q141+R122</f>
        <v>0</v>
      </c>
      <c r="S141" s="35" t="n">
        <f aca="false">R141+S122</f>
        <v>0</v>
      </c>
      <c r="T141" s="35" t="n">
        <f aca="false">S141+T122</f>
        <v>0</v>
      </c>
      <c r="U141" s="35" t="n">
        <f aca="false">T141+U122</f>
        <v>0</v>
      </c>
      <c r="V141" s="35" t="n">
        <f aca="false">U141+V122</f>
        <v>0</v>
      </c>
      <c r="W141" s="35" t="n">
        <f aca="false">V141+W122</f>
        <v>0</v>
      </c>
      <c r="X141" s="35" t="n">
        <f aca="false">W141+X122</f>
        <v>0</v>
      </c>
      <c r="Y141" s="35" t="n">
        <f aca="false">X141+Y122</f>
        <v>0</v>
      </c>
      <c r="Z141" s="35" t="n">
        <f aca="false">Y141+Z122</f>
        <v>0</v>
      </c>
    </row>
    <row r="142" customFormat="false" ht="15" hidden="false" customHeight="false" outlineLevel="0" collapsed="false">
      <c r="A142" s="11" t="s">
        <v>485</v>
      </c>
      <c r="C142" s="35" t="n">
        <f aca="false">C123</f>
        <v>0</v>
      </c>
      <c r="D142" s="35" t="n">
        <f aca="false">C142+D123</f>
        <v>0</v>
      </c>
      <c r="E142" s="35" t="n">
        <f aca="false">D142+E123</f>
        <v>0</v>
      </c>
      <c r="F142" s="35" t="n">
        <f aca="false">E142+F123</f>
        <v>0</v>
      </c>
      <c r="G142" s="35" t="n">
        <f aca="false">F142+G123</f>
        <v>0</v>
      </c>
      <c r="H142" s="35" t="n">
        <f aca="false">G142+H123</f>
        <v>0</v>
      </c>
      <c r="I142" s="35" t="n">
        <f aca="false">H142+I123</f>
        <v>0</v>
      </c>
      <c r="J142" s="35" t="n">
        <f aca="false">I142+J123</f>
        <v>0</v>
      </c>
      <c r="K142" s="35" t="n">
        <f aca="false">J142+K123</f>
        <v>0</v>
      </c>
      <c r="L142" s="35" t="n">
        <f aca="false">K142+L123</f>
        <v>0</v>
      </c>
      <c r="M142" s="35" t="n">
        <f aca="false">L142+M123</f>
        <v>0</v>
      </c>
      <c r="N142" s="35" t="n">
        <f aca="false">M142+N123</f>
        <v>0</v>
      </c>
      <c r="O142" s="35" t="n">
        <f aca="false">N142+O123</f>
        <v>0</v>
      </c>
      <c r="P142" s="35" t="n">
        <f aca="false">O142+P123</f>
        <v>0</v>
      </c>
      <c r="Q142" s="35" t="n">
        <f aca="false">P142+Q123</f>
        <v>0</v>
      </c>
      <c r="R142" s="35" t="n">
        <f aca="false">Q142+R123</f>
        <v>0</v>
      </c>
      <c r="S142" s="35" t="n">
        <f aca="false">R142+S123</f>
        <v>0</v>
      </c>
      <c r="T142" s="35" t="n">
        <f aca="false">S142+T123</f>
        <v>0</v>
      </c>
      <c r="U142" s="35" t="n">
        <f aca="false">T142+U123</f>
        <v>0</v>
      </c>
      <c r="V142" s="35" t="n">
        <f aca="false">U142+V123</f>
        <v>0</v>
      </c>
      <c r="W142" s="35" t="n">
        <f aca="false">V142+W123</f>
        <v>0</v>
      </c>
      <c r="X142" s="35" t="n">
        <f aca="false">W142+X123</f>
        <v>0</v>
      </c>
      <c r="Y142" s="35" t="n">
        <f aca="false">X142+Y123</f>
        <v>0</v>
      </c>
      <c r="Z142" s="35" t="n">
        <f aca="false">Y142+Z123</f>
        <v>0</v>
      </c>
    </row>
    <row r="143" customFormat="false" ht="15" hidden="false" customHeight="false" outlineLevel="0" collapsed="false">
      <c r="A143" s="11" t="s">
        <v>486</v>
      </c>
      <c r="C143" s="35" t="n">
        <f aca="false">C124</f>
        <v>0</v>
      </c>
      <c r="D143" s="35" t="n">
        <f aca="false">C143+D124</f>
        <v>-22433.9114583333</v>
      </c>
      <c r="E143" s="35" t="n">
        <f aca="false">D143+E124</f>
        <v>-26019.90625</v>
      </c>
      <c r="F143" s="35" t="n">
        <f aca="false">E143+F124</f>
        <v>-27632.984375</v>
      </c>
      <c r="G143" s="35" t="n">
        <f aca="false">F143+G124</f>
        <v>-27273.1458333333</v>
      </c>
      <c r="H143" s="35" t="n">
        <f aca="false">G143+H124</f>
        <v>-24940.390625</v>
      </c>
      <c r="I143" s="35" t="n">
        <f aca="false">H143+I124</f>
        <v>-20634.71875</v>
      </c>
      <c r="J143" s="35" t="n">
        <f aca="false">I143+J124</f>
        <v>-16329.046875</v>
      </c>
      <c r="K143" s="35" t="n">
        <f aca="false">J143+K124</f>
        <v>-12023.375</v>
      </c>
      <c r="L143" s="35" t="n">
        <f aca="false">K143+L124</f>
        <v>-7717.703125</v>
      </c>
      <c r="M143" s="35" t="n">
        <f aca="false">L143+M124</f>
        <v>-3412.03125</v>
      </c>
      <c r="N143" s="35" t="n">
        <f aca="false">M143+N124</f>
        <v>893.640625</v>
      </c>
      <c r="O143" s="35" t="n">
        <f aca="false">N143+O124</f>
        <v>5199.3125</v>
      </c>
      <c r="P143" s="35" t="n">
        <f aca="false">O143+P124</f>
        <v>9504.984375</v>
      </c>
      <c r="Q143" s="35" t="n">
        <f aca="false">P143+Q124</f>
        <v>13810.65625</v>
      </c>
      <c r="R143" s="35" t="n">
        <f aca="false">Q143+R124</f>
        <v>18116.328125</v>
      </c>
      <c r="S143" s="35" t="n">
        <f aca="false">R143+S124</f>
        <v>22422</v>
      </c>
      <c r="T143" s="35" t="n">
        <f aca="false">S143+T124</f>
        <v>26727.671875</v>
      </c>
      <c r="U143" s="35" t="n">
        <f aca="false">T143+U124</f>
        <v>31033.34375</v>
      </c>
      <c r="V143" s="35" t="n">
        <f aca="false">U143+V124</f>
        <v>35339.015625</v>
      </c>
      <c r="W143" s="35" t="n">
        <f aca="false">V143+W124</f>
        <v>39644.6875</v>
      </c>
      <c r="X143" s="35" t="n">
        <f aca="false">W143+X124</f>
        <v>43950.359375</v>
      </c>
      <c r="Y143" s="35" t="n">
        <f aca="false">X143+Y124</f>
        <v>48256.03125</v>
      </c>
      <c r="Z143" s="35" t="n">
        <f aca="false">Y143+Z124</f>
        <v>52561.703125</v>
      </c>
    </row>
    <row r="144" customFormat="false" ht="15" hidden="false" customHeight="false" outlineLevel="0" collapsed="false">
      <c r="A144" s="11" t="s">
        <v>487</v>
      </c>
      <c r="C144" s="35" t="n">
        <f aca="false">C125</f>
        <v>0</v>
      </c>
      <c r="D144" s="35" t="n">
        <f aca="false">C144+D125</f>
        <v>0</v>
      </c>
      <c r="E144" s="35" t="n">
        <f aca="false">D144+E125</f>
        <v>-205763.333333333</v>
      </c>
      <c r="F144" s="35" t="n">
        <f aca="false">E144+F125</f>
        <v>-197569.166666667</v>
      </c>
      <c r="G144" s="35" t="n">
        <f aca="false">F144+G125</f>
        <v>-186937.5</v>
      </c>
      <c r="H144" s="35" t="n">
        <f aca="false">G144+H125</f>
        <v>-173868.333333333</v>
      </c>
      <c r="I144" s="35" t="n">
        <f aca="false">H144+I125</f>
        <v>-160799.166666667</v>
      </c>
      <c r="J144" s="35" t="n">
        <f aca="false">I144+J125</f>
        <v>-147730</v>
      </c>
      <c r="K144" s="35" t="n">
        <f aca="false">J144+K125</f>
        <v>-134660.833333333</v>
      </c>
      <c r="L144" s="35" t="n">
        <f aca="false">K144+L125</f>
        <v>-121591.666666667</v>
      </c>
      <c r="M144" s="35" t="n">
        <f aca="false">L144+M125</f>
        <v>-108522.5</v>
      </c>
      <c r="N144" s="35" t="n">
        <f aca="false">M144+N125</f>
        <v>-95453.3333333334</v>
      </c>
      <c r="O144" s="35" t="n">
        <f aca="false">N144+O125</f>
        <v>-82384.1666666667</v>
      </c>
      <c r="P144" s="35" t="n">
        <f aca="false">O144+P125</f>
        <v>-69315</v>
      </c>
      <c r="Q144" s="35" t="n">
        <f aca="false">P144+Q125</f>
        <v>-60652.5</v>
      </c>
      <c r="R144" s="35" t="n">
        <f aca="false">Q144+R125</f>
        <v>-51990</v>
      </c>
      <c r="S144" s="35" t="n">
        <f aca="false">R144+S125</f>
        <v>-43327.5</v>
      </c>
      <c r="T144" s="35" t="n">
        <f aca="false">S144+T125</f>
        <v>-34665</v>
      </c>
      <c r="U144" s="35" t="n">
        <f aca="false">T144+U125</f>
        <v>-26002.5</v>
      </c>
      <c r="V144" s="35" t="n">
        <f aca="false">U144+V125</f>
        <v>-17340</v>
      </c>
      <c r="W144" s="35" t="n">
        <f aca="false">V144+W125</f>
        <v>-8677.50000000004</v>
      </c>
      <c r="X144" s="35" t="n">
        <f aca="false">W144+X125</f>
        <v>-15.0000000000437</v>
      </c>
      <c r="Y144" s="35" t="n">
        <f aca="false">X144+Y125</f>
        <v>8647.49999999996</v>
      </c>
      <c r="Z144" s="35" t="n">
        <f aca="false">Y144+Z125</f>
        <v>17310</v>
      </c>
    </row>
    <row r="145" customFormat="false" ht="15" hidden="false" customHeight="false" outlineLevel="0" collapsed="false">
      <c r="A145" s="11" t="s">
        <v>488</v>
      </c>
      <c r="C145" s="35" t="n">
        <f aca="false">C126</f>
        <v>0</v>
      </c>
      <c r="D145" s="35" t="n">
        <f aca="false">C145+D126</f>
        <v>0</v>
      </c>
      <c r="E145" s="35" t="n">
        <f aca="false">D145+E126</f>
        <v>0</v>
      </c>
      <c r="F145" s="35" t="n">
        <f aca="false">E145+F126</f>
        <v>0</v>
      </c>
      <c r="G145" s="35" t="n">
        <f aca="false">F145+G126</f>
        <v>0</v>
      </c>
      <c r="H145" s="35" t="n">
        <f aca="false">G145+H126</f>
        <v>0</v>
      </c>
      <c r="I145" s="35" t="n">
        <f aca="false">H145+I126</f>
        <v>0</v>
      </c>
      <c r="J145" s="35" t="n">
        <f aca="false">I145+J126</f>
        <v>0</v>
      </c>
      <c r="K145" s="35" t="n">
        <f aca="false">J145+K126</f>
        <v>0</v>
      </c>
      <c r="L145" s="35" t="n">
        <f aca="false">K145+L126</f>
        <v>0</v>
      </c>
      <c r="M145" s="35" t="n">
        <f aca="false">L145+M126</f>
        <v>0</v>
      </c>
      <c r="N145" s="35" t="n">
        <f aca="false">M145+N126</f>
        <v>0</v>
      </c>
      <c r="O145" s="35" t="n">
        <f aca="false">N145+O126</f>
        <v>0</v>
      </c>
      <c r="P145" s="35" t="n">
        <f aca="false">O145+P126</f>
        <v>0</v>
      </c>
      <c r="Q145" s="35" t="n">
        <f aca="false">P145+Q126</f>
        <v>0</v>
      </c>
      <c r="R145" s="35" t="n">
        <f aca="false">Q145+R126</f>
        <v>0</v>
      </c>
      <c r="S145" s="35" t="n">
        <f aca="false">R145+S126</f>
        <v>0</v>
      </c>
      <c r="T145" s="35" t="n">
        <f aca="false">S145+T126</f>
        <v>0</v>
      </c>
      <c r="U145" s="35" t="n">
        <f aca="false">T145+U126</f>
        <v>0</v>
      </c>
      <c r="V145" s="35" t="n">
        <f aca="false">U145+V126</f>
        <v>0</v>
      </c>
      <c r="W145" s="35" t="n">
        <f aca="false">V145+W126</f>
        <v>0</v>
      </c>
      <c r="X145" s="35" t="n">
        <f aca="false">W145+X126</f>
        <v>0</v>
      </c>
      <c r="Y145" s="35" t="n">
        <f aca="false">X145+Y126</f>
        <v>0</v>
      </c>
      <c r="Z145" s="35" t="n">
        <f aca="false">Y145+Z126</f>
        <v>0</v>
      </c>
    </row>
    <row r="146" customFormat="false" ht="15" hidden="false" customHeight="false" outlineLevel="0" collapsed="false">
      <c r="A146" s="6" t="s">
        <v>489</v>
      </c>
      <c r="C146" s="37" t="n">
        <f aca="false">C127</f>
        <v>0</v>
      </c>
      <c r="D146" s="37" t="n">
        <f aca="false">C146+D127</f>
        <v>-22433.9114583333</v>
      </c>
      <c r="E146" s="37" t="n">
        <f aca="false">D146+E127</f>
        <v>-231783.239583333</v>
      </c>
      <c r="F146" s="37" t="n">
        <f aca="false">E146+F127</f>
        <v>-225202.151041667</v>
      </c>
      <c r="G146" s="37" t="n">
        <f aca="false">F146+G127</f>
        <v>-214210.645833333</v>
      </c>
      <c r="H146" s="37" t="n">
        <f aca="false">G146+H127</f>
        <v>-198808.723958333</v>
      </c>
      <c r="I146" s="37" t="n">
        <f aca="false">H146+I127</f>
        <v>-181433.885416667</v>
      </c>
      <c r="J146" s="37" t="n">
        <f aca="false">I146+J127</f>
        <v>-164059.046875</v>
      </c>
      <c r="K146" s="37" t="n">
        <f aca="false">J146+K127</f>
        <v>-146684.208333333</v>
      </c>
      <c r="L146" s="37" t="n">
        <f aca="false">K146+L127</f>
        <v>-129309.369791667</v>
      </c>
      <c r="M146" s="37" t="n">
        <f aca="false">L146+M127</f>
        <v>-111934.53125</v>
      </c>
      <c r="N146" s="37" t="n">
        <f aca="false">M146+N127</f>
        <v>-94559.6927083334</v>
      </c>
      <c r="O146" s="37" t="n">
        <f aca="false">N146+O127</f>
        <v>-77184.8541666667</v>
      </c>
      <c r="P146" s="37" t="n">
        <f aca="false">O146+P127</f>
        <v>-59810.015625</v>
      </c>
      <c r="Q146" s="37" t="n">
        <f aca="false">P146+Q127</f>
        <v>-46841.84375</v>
      </c>
      <c r="R146" s="37" t="n">
        <f aca="false">Q146+R127</f>
        <v>-33873.671875</v>
      </c>
      <c r="S146" s="37" t="n">
        <f aca="false">R146+S127</f>
        <v>-20905.5</v>
      </c>
      <c r="T146" s="37" t="n">
        <f aca="false">S146+T127</f>
        <v>-7937.32812500002</v>
      </c>
      <c r="U146" s="37" t="n">
        <f aca="false">T146+U127</f>
        <v>5030.84374999999</v>
      </c>
      <c r="V146" s="37" t="n">
        <f aca="false">U146+V127</f>
        <v>17999.015625</v>
      </c>
      <c r="W146" s="37" t="n">
        <f aca="false">V146+W127</f>
        <v>30967.1875</v>
      </c>
      <c r="X146" s="37" t="n">
        <f aca="false">W146+X127</f>
        <v>43935.359375</v>
      </c>
      <c r="Y146" s="37" t="n">
        <f aca="false">X146+Y127</f>
        <v>56903.53125</v>
      </c>
      <c r="Z146" s="37" t="n">
        <f aca="false">Y146+Z127</f>
        <v>69871.703125</v>
      </c>
    </row>
    <row r="147" customFormat="false" ht="15" hidden="false" customHeight="false" outlineLevel="0" collapsed="false">
      <c r="A147" s="4" t="s">
        <v>490</v>
      </c>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ustomFormat="false" ht="15" hidden="false" customHeight="false" outlineLevel="0" collapsed="false">
      <c r="A148" s="11" t="s">
        <v>491</v>
      </c>
      <c r="C148" s="35" t="n">
        <f aca="false">C110+IF(AND(C$3=24,'Hire Analysis'!$C$66="Yes",'Hire Analysis'!$C$7="Yes"),'Hire Analysis'!$C$65,0)</f>
        <v>0</v>
      </c>
      <c r="D148" s="35" t="n">
        <f aca="false">D110+IF(AND(D$3=24,'Hire Analysis'!$C$66="Yes",'Hire Analysis'!$C$7="Yes"),'Hire Analysis'!$C$65,0)</f>
        <v>-22433.9114583333</v>
      </c>
      <c r="E148" s="35" t="n">
        <f aca="false">E110+IF(AND(E$3=24,'Hire Analysis'!$C$66="Yes",'Hire Analysis'!$C$7="Yes"),'Hire Analysis'!$C$65,0)</f>
        <v>-3585.99479166667</v>
      </c>
      <c r="F148" s="35" t="n">
        <f aca="false">F110+IF(AND(F$3=24,'Hire Analysis'!$C$66="Yes",'Hire Analysis'!$C$7="Yes"),'Hire Analysis'!$C$65,0)</f>
        <v>-1613.078125</v>
      </c>
      <c r="G148" s="35" t="n">
        <f aca="false">G110+IF(AND(G$3=24,'Hire Analysis'!$C$66="Yes",'Hire Analysis'!$C$7="Yes"),'Hire Analysis'!$C$65,0)</f>
        <v>359.838541666667</v>
      </c>
      <c r="H148" s="35" t="n">
        <f aca="false">H110+IF(AND(H$3=24,'Hire Analysis'!$C$66="Yes",'Hire Analysis'!$C$7="Yes"),'Hire Analysis'!$C$65,0)</f>
        <v>2332.75520833333</v>
      </c>
      <c r="I148" s="35" t="n">
        <f aca="false">I110+IF(AND(I$3=24,'Hire Analysis'!$C$66="Yes",'Hire Analysis'!$C$7="Yes"),'Hire Analysis'!$C$65,0)</f>
        <v>4305.671875</v>
      </c>
      <c r="J148" s="35" t="n">
        <f aca="false">J110+IF(AND(J$3=24,'Hire Analysis'!$C$66="Yes",'Hire Analysis'!$C$7="Yes"),'Hire Analysis'!$C$65,0)</f>
        <v>4305.671875</v>
      </c>
      <c r="K148" s="35" t="n">
        <f aca="false">K110+IF(AND(K$3=24,'Hire Analysis'!$C$66="Yes",'Hire Analysis'!$C$7="Yes"),'Hire Analysis'!$C$65,0)</f>
        <v>4305.671875</v>
      </c>
      <c r="L148" s="35" t="n">
        <f aca="false">L110+IF(AND(L$3=24,'Hire Analysis'!$C$66="Yes",'Hire Analysis'!$C$7="Yes"),'Hire Analysis'!$C$65,0)</f>
        <v>4305.671875</v>
      </c>
      <c r="M148" s="35" t="n">
        <f aca="false">M110+IF(AND(M$3=24,'Hire Analysis'!$C$66="Yes",'Hire Analysis'!$C$7="Yes"),'Hire Analysis'!$C$65,0)</f>
        <v>4305.671875</v>
      </c>
      <c r="N148" s="35" t="n">
        <f aca="false">N110+IF(AND(N$3=24,'Hire Analysis'!$C$66="Yes",'Hire Analysis'!$C$7="Yes"),'Hire Analysis'!$C$65,0)</f>
        <v>4305.671875</v>
      </c>
      <c r="O148" s="35" t="n">
        <f aca="false">O110+IF(AND(O$3=24,'Hire Analysis'!$C$66="Yes",'Hire Analysis'!$C$7="Yes"),'Hire Analysis'!$C$65,0)</f>
        <v>4305.671875</v>
      </c>
      <c r="P148" s="35" t="n">
        <f aca="false">P110+IF(AND(P$3=24,'Hire Analysis'!$C$66="Yes",'Hire Analysis'!$C$7="Yes"),'Hire Analysis'!$C$65,0)</f>
        <v>4305.671875</v>
      </c>
      <c r="Q148" s="35" t="n">
        <f aca="false">Q110+IF(AND(Q$3=24,'Hire Analysis'!$C$66="Yes",'Hire Analysis'!$C$7="Yes"),'Hire Analysis'!$C$65,0)</f>
        <v>4305.671875</v>
      </c>
      <c r="R148" s="35" t="n">
        <f aca="false">R110+IF(AND(R$3=24,'Hire Analysis'!$C$66="Yes",'Hire Analysis'!$C$7="Yes"),'Hire Analysis'!$C$65,0)</f>
        <v>4305.671875</v>
      </c>
      <c r="S148" s="35" t="n">
        <f aca="false">S110+IF(AND(S$3=24,'Hire Analysis'!$C$66="Yes",'Hire Analysis'!$C$7="Yes"),'Hire Analysis'!$C$65,0)</f>
        <v>4305.671875</v>
      </c>
      <c r="T148" s="35" t="n">
        <f aca="false">T110+IF(AND(T$3=24,'Hire Analysis'!$C$66="Yes",'Hire Analysis'!$C$7="Yes"),'Hire Analysis'!$C$65,0)</f>
        <v>4305.671875</v>
      </c>
      <c r="U148" s="35" t="n">
        <f aca="false">U110+IF(AND(U$3=24,'Hire Analysis'!$C$66="Yes",'Hire Analysis'!$C$7="Yes"),'Hire Analysis'!$C$65,0)</f>
        <v>4305.671875</v>
      </c>
      <c r="V148" s="35" t="n">
        <f aca="false">V110+IF(AND(V$3=24,'Hire Analysis'!$C$66="Yes",'Hire Analysis'!$C$7="Yes"),'Hire Analysis'!$C$65,0)</f>
        <v>4305.671875</v>
      </c>
      <c r="W148" s="35" t="n">
        <f aca="false">W110+IF(AND(W$3=24,'Hire Analysis'!$C$66="Yes",'Hire Analysis'!$C$7="Yes"),'Hire Analysis'!$C$65,0)</f>
        <v>4305.671875</v>
      </c>
      <c r="X148" s="35" t="n">
        <f aca="false">X110+IF(AND(X$3=24,'Hire Analysis'!$C$66="Yes",'Hire Analysis'!$C$7="Yes"),'Hire Analysis'!$C$65,0)</f>
        <v>4305.671875</v>
      </c>
      <c r="Y148" s="35" t="n">
        <f aca="false">Y110+IF(AND(Y$3=24,'Hire Analysis'!$C$66="Yes",'Hire Analysis'!$C$7="Yes"),'Hire Analysis'!$C$65,0)</f>
        <v>4305.671875</v>
      </c>
      <c r="Z148" s="35" t="n">
        <f aca="false">Z110+IF(AND(Z$3=24,'Hire Analysis'!$C$66="Yes",'Hire Analysis'!$C$7="Yes"),'Hire Analysis'!$C$65,0)</f>
        <v>52702.7017547727</v>
      </c>
    </row>
    <row r="149" customFormat="false" ht="15" hidden="false" customHeight="false" outlineLevel="0" collapsed="false">
      <c r="A149" s="11" t="s">
        <v>492</v>
      </c>
      <c r="C149" s="35" t="n">
        <f aca="false">C111+IF(AND(C$3=24,'Hire Analysis'!$D$66="Yes",'Hire Analysis'!$D$7="Yes"),'Hire Analysis'!$D$65,0)</f>
        <v>0</v>
      </c>
      <c r="D149" s="35" t="n">
        <f aca="false">D111+IF(AND(D$3=24,'Hire Analysis'!$D$66="Yes",'Hire Analysis'!$D$7="Yes"),'Hire Analysis'!$D$65,0)</f>
        <v>0</v>
      </c>
      <c r="E149" s="35" t="n">
        <f aca="false">E111+IF(AND(E$3=24,'Hire Analysis'!$D$66="Yes",'Hire Analysis'!$D$7="Yes"),'Hire Analysis'!$D$65,0)</f>
        <v>0</v>
      </c>
      <c r="F149" s="35" t="n">
        <f aca="false">F111+IF(AND(F$3=24,'Hire Analysis'!$D$66="Yes",'Hire Analysis'!$D$7="Yes"),'Hire Analysis'!$D$65,0)</f>
        <v>0</v>
      </c>
      <c r="G149" s="35" t="n">
        <f aca="false">G111+IF(AND(G$3=24,'Hire Analysis'!$D$66="Yes",'Hire Analysis'!$D$7="Yes"),'Hire Analysis'!$D$65,0)</f>
        <v>0</v>
      </c>
      <c r="H149" s="35" t="n">
        <f aca="false">H111+IF(AND(H$3=24,'Hire Analysis'!$D$66="Yes",'Hire Analysis'!$D$7="Yes"),'Hire Analysis'!$D$65,0)</f>
        <v>0</v>
      </c>
      <c r="I149" s="35" t="n">
        <f aca="false">I111+IF(AND(I$3=24,'Hire Analysis'!$D$66="Yes",'Hire Analysis'!$D$7="Yes"),'Hire Analysis'!$D$65,0)</f>
        <v>0</v>
      </c>
      <c r="J149" s="35" t="n">
        <f aca="false">J111+IF(AND(J$3=24,'Hire Analysis'!$D$66="Yes",'Hire Analysis'!$D$7="Yes"),'Hire Analysis'!$D$65,0)</f>
        <v>0</v>
      </c>
      <c r="K149" s="35" t="n">
        <f aca="false">K111+IF(AND(K$3=24,'Hire Analysis'!$D$66="Yes",'Hire Analysis'!$D$7="Yes"),'Hire Analysis'!$D$65,0)</f>
        <v>0</v>
      </c>
      <c r="L149" s="35" t="n">
        <f aca="false">L111+IF(AND(L$3=24,'Hire Analysis'!$D$66="Yes",'Hire Analysis'!$D$7="Yes"),'Hire Analysis'!$D$65,0)</f>
        <v>0</v>
      </c>
      <c r="M149" s="35" t="n">
        <f aca="false">M111+IF(AND(M$3=24,'Hire Analysis'!$D$66="Yes",'Hire Analysis'!$D$7="Yes"),'Hire Analysis'!$D$65,0)</f>
        <v>0</v>
      </c>
      <c r="N149" s="35" t="n">
        <f aca="false">N111+IF(AND(N$3=24,'Hire Analysis'!$D$66="Yes",'Hire Analysis'!$D$7="Yes"),'Hire Analysis'!$D$65,0)</f>
        <v>0</v>
      </c>
      <c r="O149" s="35" t="n">
        <f aca="false">O111+IF(AND(O$3=24,'Hire Analysis'!$D$66="Yes",'Hire Analysis'!$D$7="Yes"),'Hire Analysis'!$D$65,0)</f>
        <v>0</v>
      </c>
      <c r="P149" s="35" t="n">
        <f aca="false">P111+IF(AND(P$3=24,'Hire Analysis'!$D$66="Yes",'Hire Analysis'!$D$7="Yes"),'Hire Analysis'!$D$65,0)</f>
        <v>0</v>
      </c>
      <c r="Q149" s="35" t="n">
        <f aca="false">Q111+IF(AND(Q$3=24,'Hire Analysis'!$D$66="Yes",'Hire Analysis'!$D$7="Yes"),'Hire Analysis'!$D$65,0)</f>
        <v>0</v>
      </c>
      <c r="R149" s="35" t="n">
        <f aca="false">R111+IF(AND(R$3=24,'Hire Analysis'!$D$66="Yes",'Hire Analysis'!$D$7="Yes"),'Hire Analysis'!$D$65,0)</f>
        <v>0</v>
      </c>
      <c r="S149" s="35" t="n">
        <f aca="false">S111+IF(AND(S$3=24,'Hire Analysis'!$D$66="Yes",'Hire Analysis'!$D$7="Yes"),'Hire Analysis'!$D$65,0)</f>
        <v>0</v>
      </c>
      <c r="T149" s="35" t="n">
        <f aca="false">T111+IF(AND(T$3=24,'Hire Analysis'!$D$66="Yes",'Hire Analysis'!$D$7="Yes"),'Hire Analysis'!$D$65,0)</f>
        <v>0</v>
      </c>
      <c r="U149" s="35" t="n">
        <f aca="false">U111+IF(AND(U$3=24,'Hire Analysis'!$D$66="Yes",'Hire Analysis'!$D$7="Yes"),'Hire Analysis'!$D$65,0)</f>
        <v>0</v>
      </c>
      <c r="V149" s="35" t="n">
        <f aca="false">V111+IF(AND(V$3=24,'Hire Analysis'!$D$66="Yes",'Hire Analysis'!$D$7="Yes"),'Hire Analysis'!$D$65,0)</f>
        <v>0</v>
      </c>
      <c r="W149" s="35" t="n">
        <f aca="false">W111+IF(AND(W$3=24,'Hire Analysis'!$D$66="Yes",'Hire Analysis'!$D$7="Yes"),'Hire Analysis'!$D$65,0)</f>
        <v>0</v>
      </c>
      <c r="X149" s="35" t="n">
        <f aca="false">X111+IF(AND(X$3=24,'Hire Analysis'!$D$66="Yes",'Hire Analysis'!$D$7="Yes"),'Hire Analysis'!$D$65,0)</f>
        <v>0</v>
      </c>
      <c r="Y149" s="35" t="n">
        <f aca="false">Y111+IF(AND(Y$3=24,'Hire Analysis'!$D$66="Yes",'Hire Analysis'!$D$7="Yes"),'Hire Analysis'!$D$65,0)</f>
        <v>0</v>
      </c>
      <c r="Z149" s="35" t="n">
        <f aca="false">Z111+IF(AND(Z$3=24,'Hire Analysis'!$D$66="Yes",'Hire Analysis'!$D$7="Yes"),'Hire Analysis'!$D$65,0)</f>
        <v>0</v>
      </c>
    </row>
    <row r="150" customFormat="false" ht="15" hidden="false" customHeight="false" outlineLevel="0" collapsed="false">
      <c r="A150" s="11" t="s">
        <v>493</v>
      </c>
      <c r="C150" s="35" t="n">
        <f aca="false">C112+IF(AND(C$3=24,'Hire Analysis'!$E$66="Yes",'Hire Analysis'!$E$7="Yes"),'Hire Analysis'!$E$65,0)</f>
        <v>0</v>
      </c>
      <c r="D150" s="35" t="n">
        <f aca="false">D112+IF(AND(D$3=24,'Hire Analysis'!$E$66="Yes",'Hire Analysis'!$E$7="Yes"),'Hire Analysis'!$E$65,0)</f>
        <v>0</v>
      </c>
      <c r="E150" s="35" t="n">
        <f aca="false">E112+IF(AND(E$3=24,'Hire Analysis'!$E$66="Yes",'Hire Analysis'!$E$7="Yes"),'Hire Analysis'!$E$65,0)</f>
        <v>0</v>
      </c>
      <c r="F150" s="35" t="n">
        <f aca="false">F112+IF(AND(F$3=24,'Hire Analysis'!$E$66="Yes",'Hire Analysis'!$E$7="Yes"),'Hire Analysis'!$E$65,0)</f>
        <v>0</v>
      </c>
      <c r="G150" s="35" t="n">
        <f aca="false">G112+IF(AND(G$3=24,'Hire Analysis'!$E$66="Yes",'Hire Analysis'!$E$7="Yes"),'Hire Analysis'!$E$65,0)</f>
        <v>0</v>
      </c>
      <c r="H150" s="35" t="n">
        <f aca="false">H112+IF(AND(H$3=24,'Hire Analysis'!$E$66="Yes",'Hire Analysis'!$E$7="Yes"),'Hire Analysis'!$E$65,0)</f>
        <v>0</v>
      </c>
      <c r="I150" s="35" t="n">
        <f aca="false">I112+IF(AND(I$3=24,'Hire Analysis'!$E$66="Yes",'Hire Analysis'!$E$7="Yes"),'Hire Analysis'!$E$65,0)</f>
        <v>0</v>
      </c>
      <c r="J150" s="35" t="n">
        <f aca="false">J112+IF(AND(J$3=24,'Hire Analysis'!$E$66="Yes",'Hire Analysis'!$E$7="Yes"),'Hire Analysis'!$E$65,0)</f>
        <v>0</v>
      </c>
      <c r="K150" s="35" t="n">
        <f aca="false">K112+IF(AND(K$3=24,'Hire Analysis'!$E$66="Yes",'Hire Analysis'!$E$7="Yes"),'Hire Analysis'!$E$65,0)</f>
        <v>0</v>
      </c>
      <c r="L150" s="35" t="n">
        <f aca="false">L112+IF(AND(L$3=24,'Hire Analysis'!$E$66="Yes",'Hire Analysis'!$E$7="Yes"),'Hire Analysis'!$E$65,0)</f>
        <v>0</v>
      </c>
      <c r="M150" s="35" t="n">
        <f aca="false">M112+IF(AND(M$3=24,'Hire Analysis'!$E$66="Yes",'Hire Analysis'!$E$7="Yes"),'Hire Analysis'!$E$65,0)</f>
        <v>0</v>
      </c>
      <c r="N150" s="35" t="n">
        <f aca="false">N112+IF(AND(N$3=24,'Hire Analysis'!$E$66="Yes",'Hire Analysis'!$E$7="Yes"),'Hire Analysis'!$E$65,0)</f>
        <v>0</v>
      </c>
      <c r="O150" s="35" t="n">
        <f aca="false">O112+IF(AND(O$3=24,'Hire Analysis'!$E$66="Yes",'Hire Analysis'!$E$7="Yes"),'Hire Analysis'!$E$65,0)</f>
        <v>0</v>
      </c>
      <c r="P150" s="35" t="n">
        <f aca="false">P112+IF(AND(P$3=24,'Hire Analysis'!$E$66="Yes",'Hire Analysis'!$E$7="Yes"),'Hire Analysis'!$E$65,0)</f>
        <v>0</v>
      </c>
      <c r="Q150" s="35" t="n">
        <f aca="false">Q112+IF(AND(Q$3=24,'Hire Analysis'!$E$66="Yes",'Hire Analysis'!$E$7="Yes"),'Hire Analysis'!$E$65,0)</f>
        <v>0</v>
      </c>
      <c r="R150" s="35" t="n">
        <f aca="false">R112+IF(AND(R$3=24,'Hire Analysis'!$E$66="Yes",'Hire Analysis'!$E$7="Yes"),'Hire Analysis'!$E$65,0)</f>
        <v>0</v>
      </c>
      <c r="S150" s="35" t="n">
        <f aca="false">S112+IF(AND(S$3=24,'Hire Analysis'!$E$66="Yes",'Hire Analysis'!$E$7="Yes"),'Hire Analysis'!$E$65,0)</f>
        <v>0</v>
      </c>
      <c r="T150" s="35" t="n">
        <f aca="false">T112+IF(AND(T$3=24,'Hire Analysis'!$E$66="Yes",'Hire Analysis'!$E$7="Yes"),'Hire Analysis'!$E$65,0)</f>
        <v>0</v>
      </c>
      <c r="U150" s="35" t="n">
        <f aca="false">U112+IF(AND(U$3=24,'Hire Analysis'!$E$66="Yes",'Hire Analysis'!$E$7="Yes"),'Hire Analysis'!$E$65,0)</f>
        <v>0</v>
      </c>
      <c r="V150" s="35" t="n">
        <f aca="false">V112+IF(AND(V$3=24,'Hire Analysis'!$E$66="Yes",'Hire Analysis'!$E$7="Yes"),'Hire Analysis'!$E$65,0)</f>
        <v>0</v>
      </c>
      <c r="W150" s="35" t="n">
        <f aca="false">W112+IF(AND(W$3=24,'Hire Analysis'!$E$66="Yes",'Hire Analysis'!$E$7="Yes"),'Hire Analysis'!$E$65,0)</f>
        <v>0</v>
      </c>
      <c r="X150" s="35" t="n">
        <f aca="false">X112+IF(AND(X$3=24,'Hire Analysis'!$E$66="Yes",'Hire Analysis'!$E$7="Yes"),'Hire Analysis'!$E$65,0)</f>
        <v>0</v>
      </c>
      <c r="Y150" s="35" t="n">
        <f aca="false">Y112+IF(AND(Y$3=24,'Hire Analysis'!$E$66="Yes",'Hire Analysis'!$E$7="Yes"),'Hire Analysis'!$E$65,0)</f>
        <v>0</v>
      </c>
      <c r="Z150" s="35" t="n">
        <f aca="false">Z112+IF(AND(Z$3=24,'Hire Analysis'!$E$66="Yes",'Hire Analysis'!$E$7="Yes"),'Hire Analysis'!$E$65,0)</f>
        <v>0</v>
      </c>
    </row>
    <row r="151" customFormat="false" ht="15" hidden="false" customHeight="false" outlineLevel="0" collapsed="false">
      <c r="A151" s="11" t="s">
        <v>494</v>
      </c>
      <c r="C151" s="35" t="n">
        <f aca="false">C113+IF(AND(C$3=24,'Hire Analysis'!$F$66="Yes",'Hire Analysis'!$F$7="Yes"),'Hire Analysis'!$F$65,0)</f>
        <v>0</v>
      </c>
      <c r="D151" s="35" t="n">
        <f aca="false">D113+IF(AND(D$3=24,'Hire Analysis'!$F$66="Yes",'Hire Analysis'!$F$7="Yes"),'Hire Analysis'!$F$65,0)</f>
        <v>0</v>
      </c>
      <c r="E151" s="35" t="n">
        <f aca="false">E113+IF(AND(E$3=24,'Hire Analysis'!$F$66="Yes",'Hire Analysis'!$F$7="Yes"),'Hire Analysis'!$F$65,0)</f>
        <v>0</v>
      </c>
      <c r="F151" s="35" t="n">
        <f aca="false">F113+IF(AND(F$3=24,'Hire Analysis'!$F$66="Yes",'Hire Analysis'!$F$7="Yes"),'Hire Analysis'!$F$65,0)</f>
        <v>0</v>
      </c>
      <c r="G151" s="35" t="n">
        <f aca="false">G113+IF(AND(G$3=24,'Hire Analysis'!$F$66="Yes",'Hire Analysis'!$F$7="Yes"),'Hire Analysis'!$F$65,0)</f>
        <v>0</v>
      </c>
      <c r="H151" s="35" t="n">
        <f aca="false">H113+IF(AND(H$3=24,'Hire Analysis'!$F$66="Yes",'Hire Analysis'!$F$7="Yes"),'Hire Analysis'!$F$65,0)</f>
        <v>0</v>
      </c>
      <c r="I151" s="35" t="n">
        <f aca="false">I113+IF(AND(I$3=24,'Hire Analysis'!$F$66="Yes",'Hire Analysis'!$F$7="Yes"),'Hire Analysis'!$F$65,0)</f>
        <v>0</v>
      </c>
      <c r="J151" s="35" t="n">
        <f aca="false">J113+IF(AND(J$3=24,'Hire Analysis'!$F$66="Yes",'Hire Analysis'!$F$7="Yes"),'Hire Analysis'!$F$65,0)</f>
        <v>0</v>
      </c>
      <c r="K151" s="35" t="n">
        <f aca="false">K113+IF(AND(K$3=24,'Hire Analysis'!$F$66="Yes",'Hire Analysis'!$F$7="Yes"),'Hire Analysis'!$F$65,0)</f>
        <v>0</v>
      </c>
      <c r="L151" s="35" t="n">
        <f aca="false">L113+IF(AND(L$3=24,'Hire Analysis'!$F$66="Yes",'Hire Analysis'!$F$7="Yes"),'Hire Analysis'!$F$65,0)</f>
        <v>0</v>
      </c>
      <c r="M151" s="35" t="n">
        <f aca="false">M113+IF(AND(M$3=24,'Hire Analysis'!$F$66="Yes",'Hire Analysis'!$F$7="Yes"),'Hire Analysis'!$F$65,0)</f>
        <v>0</v>
      </c>
      <c r="N151" s="35" t="n">
        <f aca="false">N113+IF(AND(N$3=24,'Hire Analysis'!$F$66="Yes",'Hire Analysis'!$F$7="Yes"),'Hire Analysis'!$F$65,0)</f>
        <v>0</v>
      </c>
      <c r="O151" s="35" t="n">
        <f aca="false">O113+IF(AND(O$3=24,'Hire Analysis'!$F$66="Yes",'Hire Analysis'!$F$7="Yes"),'Hire Analysis'!$F$65,0)</f>
        <v>0</v>
      </c>
      <c r="P151" s="35" t="n">
        <f aca="false">P113+IF(AND(P$3=24,'Hire Analysis'!$F$66="Yes",'Hire Analysis'!$F$7="Yes"),'Hire Analysis'!$F$65,0)</f>
        <v>0</v>
      </c>
      <c r="Q151" s="35" t="n">
        <f aca="false">Q113+IF(AND(Q$3=24,'Hire Analysis'!$F$66="Yes",'Hire Analysis'!$F$7="Yes"),'Hire Analysis'!$F$65,0)</f>
        <v>0</v>
      </c>
      <c r="R151" s="35" t="n">
        <f aca="false">R113+IF(AND(R$3=24,'Hire Analysis'!$F$66="Yes",'Hire Analysis'!$F$7="Yes"),'Hire Analysis'!$F$65,0)</f>
        <v>0</v>
      </c>
      <c r="S151" s="35" t="n">
        <f aca="false">S113+IF(AND(S$3=24,'Hire Analysis'!$F$66="Yes",'Hire Analysis'!$F$7="Yes"),'Hire Analysis'!$F$65,0)</f>
        <v>0</v>
      </c>
      <c r="T151" s="35" t="n">
        <f aca="false">T113+IF(AND(T$3=24,'Hire Analysis'!$F$66="Yes",'Hire Analysis'!$F$7="Yes"),'Hire Analysis'!$F$65,0)</f>
        <v>0</v>
      </c>
      <c r="U151" s="35" t="n">
        <f aca="false">U113+IF(AND(U$3=24,'Hire Analysis'!$F$66="Yes",'Hire Analysis'!$F$7="Yes"),'Hire Analysis'!$F$65,0)</f>
        <v>0</v>
      </c>
      <c r="V151" s="35" t="n">
        <f aca="false">V113+IF(AND(V$3=24,'Hire Analysis'!$F$66="Yes",'Hire Analysis'!$F$7="Yes"),'Hire Analysis'!$F$65,0)</f>
        <v>0</v>
      </c>
      <c r="W151" s="35" t="n">
        <f aca="false">W113+IF(AND(W$3=24,'Hire Analysis'!$F$66="Yes",'Hire Analysis'!$F$7="Yes"),'Hire Analysis'!$F$65,0)</f>
        <v>0</v>
      </c>
      <c r="X151" s="35" t="n">
        <f aca="false">X113+IF(AND(X$3=24,'Hire Analysis'!$F$66="Yes",'Hire Analysis'!$F$7="Yes"),'Hire Analysis'!$F$65,0)</f>
        <v>0</v>
      </c>
      <c r="Y151" s="35" t="n">
        <f aca="false">Y113+IF(AND(Y$3=24,'Hire Analysis'!$F$66="Yes",'Hire Analysis'!$F$7="Yes"),'Hire Analysis'!$F$65,0)</f>
        <v>0</v>
      </c>
      <c r="Z151" s="35" t="n">
        <f aca="false">Z113+IF(AND(Z$3=24,'Hire Analysis'!$F$66="Yes",'Hire Analysis'!$F$7="Yes"),'Hire Analysis'!$F$65,0)</f>
        <v>0</v>
      </c>
    </row>
    <row r="152" customFormat="false" ht="15" hidden="false" customHeight="false" outlineLevel="0" collapsed="false">
      <c r="A152" s="11" t="s">
        <v>495</v>
      </c>
      <c r="C152" s="35" t="n">
        <f aca="false">C114+IF(AND(C$3=24,'Hire Analysis'!$G$66="Yes",'Hire Analysis'!$G$7="Yes"),'Hire Analysis'!$G$65,0)</f>
        <v>0</v>
      </c>
      <c r="D152" s="35" t="n">
        <f aca="false">D114+IF(AND(D$3=24,'Hire Analysis'!$G$66="Yes",'Hire Analysis'!$G$7="Yes"),'Hire Analysis'!$G$65,0)</f>
        <v>0</v>
      </c>
      <c r="E152" s="35" t="n">
        <f aca="false">E114+IF(AND(E$3=24,'Hire Analysis'!$G$66="Yes",'Hire Analysis'!$G$7="Yes"),'Hire Analysis'!$G$65,0)</f>
        <v>0</v>
      </c>
      <c r="F152" s="35" t="n">
        <f aca="false">F114+IF(AND(F$3=24,'Hire Analysis'!$G$66="Yes",'Hire Analysis'!$G$7="Yes"),'Hire Analysis'!$G$65,0)</f>
        <v>0</v>
      </c>
      <c r="G152" s="35" t="n">
        <f aca="false">G114+IF(AND(G$3=24,'Hire Analysis'!$G$66="Yes",'Hire Analysis'!$G$7="Yes"),'Hire Analysis'!$G$65,0)</f>
        <v>0</v>
      </c>
      <c r="H152" s="35" t="n">
        <f aca="false">H114+IF(AND(H$3=24,'Hire Analysis'!$G$66="Yes",'Hire Analysis'!$G$7="Yes"),'Hire Analysis'!$G$65,0)</f>
        <v>0</v>
      </c>
      <c r="I152" s="35" t="n">
        <f aca="false">I114+IF(AND(I$3=24,'Hire Analysis'!$G$66="Yes",'Hire Analysis'!$G$7="Yes"),'Hire Analysis'!$G$65,0)</f>
        <v>0</v>
      </c>
      <c r="J152" s="35" t="n">
        <f aca="false">J114+IF(AND(J$3=24,'Hire Analysis'!$G$66="Yes",'Hire Analysis'!$G$7="Yes"),'Hire Analysis'!$G$65,0)</f>
        <v>0</v>
      </c>
      <c r="K152" s="35" t="n">
        <f aca="false">K114+IF(AND(K$3=24,'Hire Analysis'!$G$66="Yes",'Hire Analysis'!$G$7="Yes"),'Hire Analysis'!$G$65,0)</f>
        <v>0</v>
      </c>
      <c r="L152" s="35" t="n">
        <f aca="false">L114+IF(AND(L$3=24,'Hire Analysis'!$G$66="Yes",'Hire Analysis'!$G$7="Yes"),'Hire Analysis'!$G$65,0)</f>
        <v>0</v>
      </c>
      <c r="M152" s="35" t="n">
        <f aca="false">M114+IF(AND(M$3=24,'Hire Analysis'!$G$66="Yes",'Hire Analysis'!$G$7="Yes"),'Hire Analysis'!$G$65,0)</f>
        <v>0</v>
      </c>
      <c r="N152" s="35" t="n">
        <f aca="false">N114+IF(AND(N$3=24,'Hire Analysis'!$G$66="Yes",'Hire Analysis'!$G$7="Yes"),'Hire Analysis'!$G$65,0)</f>
        <v>0</v>
      </c>
      <c r="O152" s="35" t="n">
        <f aca="false">O114+IF(AND(O$3=24,'Hire Analysis'!$G$66="Yes",'Hire Analysis'!$G$7="Yes"),'Hire Analysis'!$G$65,0)</f>
        <v>0</v>
      </c>
      <c r="P152" s="35" t="n">
        <f aca="false">P114+IF(AND(P$3=24,'Hire Analysis'!$G$66="Yes",'Hire Analysis'!$G$7="Yes"),'Hire Analysis'!$G$65,0)</f>
        <v>0</v>
      </c>
      <c r="Q152" s="35" t="n">
        <f aca="false">Q114+IF(AND(Q$3=24,'Hire Analysis'!$G$66="Yes",'Hire Analysis'!$G$7="Yes"),'Hire Analysis'!$G$65,0)</f>
        <v>0</v>
      </c>
      <c r="R152" s="35" t="n">
        <f aca="false">R114+IF(AND(R$3=24,'Hire Analysis'!$G$66="Yes",'Hire Analysis'!$G$7="Yes"),'Hire Analysis'!$G$65,0)</f>
        <v>0</v>
      </c>
      <c r="S152" s="35" t="n">
        <f aca="false">S114+IF(AND(S$3=24,'Hire Analysis'!$G$66="Yes",'Hire Analysis'!$G$7="Yes"),'Hire Analysis'!$G$65,0)</f>
        <v>0</v>
      </c>
      <c r="T152" s="35" t="n">
        <f aca="false">T114+IF(AND(T$3=24,'Hire Analysis'!$G$66="Yes",'Hire Analysis'!$G$7="Yes"),'Hire Analysis'!$G$65,0)</f>
        <v>0</v>
      </c>
      <c r="U152" s="35" t="n">
        <f aca="false">U114+IF(AND(U$3=24,'Hire Analysis'!$G$66="Yes",'Hire Analysis'!$G$7="Yes"),'Hire Analysis'!$G$65,0)</f>
        <v>0</v>
      </c>
      <c r="V152" s="35" t="n">
        <f aca="false">V114+IF(AND(V$3=24,'Hire Analysis'!$G$66="Yes",'Hire Analysis'!$G$7="Yes"),'Hire Analysis'!$G$65,0)</f>
        <v>0</v>
      </c>
      <c r="W152" s="35" t="n">
        <f aca="false">W114+IF(AND(W$3=24,'Hire Analysis'!$G$66="Yes",'Hire Analysis'!$G$7="Yes"),'Hire Analysis'!$G$65,0)</f>
        <v>0</v>
      </c>
      <c r="X152" s="35" t="n">
        <f aca="false">X114+IF(AND(X$3=24,'Hire Analysis'!$G$66="Yes",'Hire Analysis'!$G$7="Yes"),'Hire Analysis'!$G$65,0)</f>
        <v>0</v>
      </c>
      <c r="Y152" s="35" t="n">
        <f aca="false">Y114+IF(AND(Y$3=24,'Hire Analysis'!$G$66="Yes",'Hire Analysis'!$G$7="Yes"),'Hire Analysis'!$G$65,0)</f>
        <v>0</v>
      </c>
      <c r="Z152" s="35" t="n">
        <f aca="false">Z114+IF(AND(Z$3=24,'Hire Analysis'!$G$66="Yes",'Hire Analysis'!$G$7="Yes"),'Hire Analysis'!$G$65,0)</f>
        <v>0</v>
      </c>
    </row>
    <row r="153" customFormat="false" ht="15" hidden="false" customHeight="false" outlineLevel="0" collapsed="false">
      <c r="A153" s="11" t="s">
        <v>496</v>
      </c>
      <c r="C153" s="35" t="n">
        <f aca="false">C115+IF(AND(C$3=24,'Hire Analysis'!$H$66="Yes",'Hire Analysis'!$H$7="Yes"),'Hire Analysis'!$H$65,0)</f>
        <v>0</v>
      </c>
      <c r="D153" s="35" t="n">
        <f aca="false">D115+IF(AND(D$3=24,'Hire Analysis'!$H$66="Yes",'Hire Analysis'!$H$7="Yes"),'Hire Analysis'!$H$65,0)</f>
        <v>0</v>
      </c>
      <c r="E153" s="35" t="n">
        <f aca="false">E115+IF(AND(E$3=24,'Hire Analysis'!$H$66="Yes",'Hire Analysis'!$H$7="Yes"),'Hire Analysis'!$H$65,0)</f>
        <v>0</v>
      </c>
      <c r="F153" s="35" t="n">
        <f aca="false">F115+IF(AND(F$3=24,'Hire Analysis'!$H$66="Yes",'Hire Analysis'!$H$7="Yes"),'Hire Analysis'!$H$65,0)</f>
        <v>0</v>
      </c>
      <c r="G153" s="35" t="n">
        <f aca="false">G115+IF(AND(G$3=24,'Hire Analysis'!$H$66="Yes",'Hire Analysis'!$H$7="Yes"),'Hire Analysis'!$H$65,0)</f>
        <v>0</v>
      </c>
      <c r="H153" s="35" t="n">
        <f aca="false">H115+IF(AND(H$3=24,'Hire Analysis'!$H$66="Yes",'Hire Analysis'!$H$7="Yes"),'Hire Analysis'!$H$65,0)</f>
        <v>0</v>
      </c>
      <c r="I153" s="35" t="n">
        <f aca="false">I115+IF(AND(I$3=24,'Hire Analysis'!$H$66="Yes",'Hire Analysis'!$H$7="Yes"),'Hire Analysis'!$H$65,0)</f>
        <v>0</v>
      </c>
      <c r="J153" s="35" t="n">
        <f aca="false">J115+IF(AND(J$3=24,'Hire Analysis'!$H$66="Yes",'Hire Analysis'!$H$7="Yes"),'Hire Analysis'!$H$65,0)</f>
        <v>0</v>
      </c>
      <c r="K153" s="35" t="n">
        <f aca="false">K115+IF(AND(K$3=24,'Hire Analysis'!$H$66="Yes",'Hire Analysis'!$H$7="Yes"),'Hire Analysis'!$H$65,0)</f>
        <v>0</v>
      </c>
      <c r="L153" s="35" t="n">
        <f aca="false">L115+IF(AND(L$3=24,'Hire Analysis'!$H$66="Yes",'Hire Analysis'!$H$7="Yes"),'Hire Analysis'!$H$65,0)</f>
        <v>0</v>
      </c>
      <c r="M153" s="35" t="n">
        <f aca="false">M115+IF(AND(M$3=24,'Hire Analysis'!$H$66="Yes",'Hire Analysis'!$H$7="Yes"),'Hire Analysis'!$H$65,0)</f>
        <v>0</v>
      </c>
      <c r="N153" s="35" t="n">
        <f aca="false">N115+IF(AND(N$3=24,'Hire Analysis'!$H$66="Yes",'Hire Analysis'!$H$7="Yes"),'Hire Analysis'!$H$65,0)</f>
        <v>0</v>
      </c>
      <c r="O153" s="35" t="n">
        <f aca="false">O115+IF(AND(O$3=24,'Hire Analysis'!$H$66="Yes",'Hire Analysis'!$H$7="Yes"),'Hire Analysis'!$H$65,0)</f>
        <v>0</v>
      </c>
      <c r="P153" s="35" t="n">
        <f aca="false">P115+IF(AND(P$3=24,'Hire Analysis'!$H$66="Yes",'Hire Analysis'!$H$7="Yes"),'Hire Analysis'!$H$65,0)</f>
        <v>0</v>
      </c>
      <c r="Q153" s="35" t="n">
        <f aca="false">Q115+IF(AND(Q$3=24,'Hire Analysis'!$H$66="Yes",'Hire Analysis'!$H$7="Yes"),'Hire Analysis'!$H$65,0)</f>
        <v>0</v>
      </c>
      <c r="R153" s="35" t="n">
        <f aca="false">R115+IF(AND(R$3=24,'Hire Analysis'!$H$66="Yes",'Hire Analysis'!$H$7="Yes"),'Hire Analysis'!$H$65,0)</f>
        <v>0</v>
      </c>
      <c r="S153" s="35" t="n">
        <f aca="false">S115+IF(AND(S$3=24,'Hire Analysis'!$H$66="Yes",'Hire Analysis'!$H$7="Yes"),'Hire Analysis'!$H$65,0)</f>
        <v>0</v>
      </c>
      <c r="T153" s="35" t="n">
        <f aca="false">T115+IF(AND(T$3=24,'Hire Analysis'!$H$66="Yes",'Hire Analysis'!$H$7="Yes"),'Hire Analysis'!$H$65,0)</f>
        <v>0</v>
      </c>
      <c r="U153" s="35" t="n">
        <f aca="false">U115+IF(AND(U$3=24,'Hire Analysis'!$H$66="Yes",'Hire Analysis'!$H$7="Yes"),'Hire Analysis'!$H$65,0)</f>
        <v>0</v>
      </c>
      <c r="V153" s="35" t="n">
        <f aca="false">V115+IF(AND(V$3=24,'Hire Analysis'!$H$66="Yes",'Hire Analysis'!$H$7="Yes"),'Hire Analysis'!$H$65,0)</f>
        <v>0</v>
      </c>
      <c r="W153" s="35" t="n">
        <f aca="false">W115+IF(AND(W$3=24,'Hire Analysis'!$H$66="Yes",'Hire Analysis'!$H$7="Yes"),'Hire Analysis'!$H$65,0)</f>
        <v>0</v>
      </c>
      <c r="X153" s="35" t="n">
        <f aca="false">X115+IF(AND(X$3=24,'Hire Analysis'!$H$66="Yes",'Hire Analysis'!$H$7="Yes"),'Hire Analysis'!$H$65,0)</f>
        <v>0</v>
      </c>
      <c r="Y153" s="35" t="n">
        <f aca="false">Y115+IF(AND(Y$3=24,'Hire Analysis'!$H$66="Yes",'Hire Analysis'!$H$7="Yes"),'Hire Analysis'!$H$65,0)</f>
        <v>0</v>
      </c>
      <c r="Z153" s="35" t="n">
        <f aca="false">Z115+IF(AND(Z$3=24,'Hire Analysis'!$H$66="Yes",'Hire Analysis'!$H$7="Yes"),'Hire Analysis'!$H$65,0)</f>
        <v>0</v>
      </c>
    </row>
    <row r="154" customFormat="false" ht="15" hidden="false" customHeight="false" outlineLevel="0" collapsed="false">
      <c r="A154" s="11" t="s">
        <v>497</v>
      </c>
      <c r="C154" s="35" t="n">
        <f aca="false">C116+IF(AND(C$3=24,'Equipment Analysis'!$C$82="Yes",'Equipment Analysis'!$C$7="Yes"),'Equipment Analysis'!$C$81,0)</f>
        <v>0</v>
      </c>
      <c r="D154" s="35" t="n">
        <f aca="false">D116+IF(AND(D$3=24,'Equipment Analysis'!$C$82="Yes",'Equipment Analysis'!$C$7="Yes"),'Equipment Analysis'!$C$81,0)</f>
        <v>0</v>
      </c>
      <c r="E154" s="35" t="n">
        <f aca="false">E116+IF(AND(E$3=24,'Equipment Analysis'!$C$82="Yes",'Equipment Analysis'!$C$7="Yes"),'Equipment Analysis'!$C$81,0)</f>
        <v>-205763.333333333</v>
      </c>
      <c r="F154" s="35" t="n">
        <f aca="false">F116+IF(AND(F$3=24,'Equipment Analysis'!$C$82="Yes",'Equipment Analysis'!$C$7="Yes"),'Equipment Analysis'!$C$81,0)</f>
        <v>8194.16666666667</v>
      </c>
      <c r="G154" s="35" t="n">
        <f aca="false">G116+IF(AND(G$3=24,'Equipment Analysis'!$C$82="Yes",'Equipment Analysis'!$C$7="Yes"),'Equipment Analysis'!$C$81,0)</f>
        <v>10631.6666666667</v>
      </c>
      <c r="H154" s="35" t="n">
        <f aca="false">H116+IF(AND(H$3=24,'Equipment Analysis'!$C$82="Yes",'Equipment Analysis'!$C$7="Yes"),'Equipment Analysis'!$C$81,0)</f>
        <v>13069.1666666667</v>
      </c>
      <c r="I154" s="35" t="n">
        <f aca="false">I116+IF(AND(I$3=24,'Equipment Analysis'!$C$82="Yes",'Equipment Analysis'!$C$7="Yes"),'Equipment Analysis'!$C$81,0)</f>
        <v>13069.1666666667</v>
      </c>
      <c r="J154" s="35" t="n">
        <f aca="false">J116+IF(AND(J$3=24,'Equipment Analysis'!$C$82="Yes",'Equipment Analysis'!$C$7="Yes"),'Equipment Analysis'!$C$81,0)</f>
        <v>13069.1666666667</v>
      </c>
      <c r="K154" s="35" t="n">
        <f aca="false">K116+IF(AND(K$3=24,'Equipment Analysis'!$C$82="Yes",'Equipment Analysis'!$C$7="Yes"),'Equipment Analysis'!$C$81,0)</f>
        <v>13069.1666666667</v>
      </c>
      <c r="L154" s="35" t="n">
        <f aca="false">L116+IF(AND(L$3=24,'Equipment Analysis'!$C$82="Yes",'Equipment Analysis'!$C$7="Yes"),'Equipment Analysis'!$C$81,0)</f>
        <v>13069.1666666667</v>
      </c>
      <c r="M154" s="35" t="n">
        <f aca="false">M116+IF(AND(M$3=24,'Equipment Analysis'!$C$82="Yes",'Equipment Analysis'!$C$7="Yes"),'Equipment Analysis'!$C$81,0)</f>
        <v>13069.1666666667</v>
      </c>
      <c r="N154" s="35" t="n">
        <f aca="false">N116+IF(AND(N$3=24,'Equipment Analysis'!$C$82="Yes",'Equipment Analysis'!$C$7="Yes"),'Equipment Analysis'!$C$81,0)</f>
        <v>13069.1666666667</v>
      </c>
      <c r="O154" s="35" t="n">
        <f aca="false">O116+IF(AND(O$3=24,'Equipment Analysis'!$C$82="Yes",'Equipment Analysis'!$C$7="Yes"),'Equipment Analysis'!$C$81,0)</f>
        <v>13069.1666666667</v>
      </c>
      <c r="P154" s="35" t="n">
        <f aca="false">P116+IF(AND(P$3=24,'Equipment Analysis'!$C$82="Yes",'Equipment Analysis'!$C$7="Yes"),'Equipment Analysis'!$C$81,0)</f>
        <v>13069.1666666667</v>
      </c>
      <c r="Q154" s="35" t="n">
        <f aca="false">Q116+IF(AND(Q$3=24,'Equipment Analysis'!$C$82="Yes",'Equipment Analysis'!$C$7="Yes"),'Equipment Analysis'!$C$81,0)</f>
        <v>8662.5</v>
      </c>
      <c r="R154" s="35" t="n">
        <f aca="false">R116+IF(AND(R$3=24,'Equipment Analysis'!$C$82="Yes",'Equipment Analysis'!$C$7="Yes"),'Equipment Analysis'!$C$81,0)</f>
        <v>8662.5</v>
      </c>
      <c r="S154" s="35" t="n">
        <f aca="false">S116+IF(AND(S$3=24,'Equipment Analysis'!$C$82="Yes",'Equipment Analysis'!$C$7="Yes"),'Equipment Analysis'!$C$81,0)</f>
        <v>8662.5</v>
      </c>
      <c r="T154" s="35" t="n">
        <f aca="false">T116+IF(AND(T$3=24,'Equipment Analysis'!$C$82="Yes",'Equipment Analysis'!$C$7="Yes"),'Equipment Analysis'!$C$81,0)</f>
        <v>8662.5</v>
      </c>
      <c r="U154" s="35" t="n">
        <f aca="false">U116+IF(AND(U$3=24,'Equipment Analysis'!$C$82="Yes",'Equipment Analysis'!$C$7="Yes"),'Equipment Analysis'!$C$81,0)</f>
        <v>8662.5</v>
      </c>
      <c r="V154" s="35" t="n">
        <f aca="false">V116+IF(AND(V$3=24,'Equipment Analysis'!$C$82="Yes",'Equipment Analysis'!$C$7="Yes"),'Equipment Analysis'!$C$81,0)</f>
        <v>8662.5</v>
      </c>
      <c r="W154" s="35" t="n">
        <f aca="false">W116+IF(AND(W$3=24,'Equipment Analysis'!$C$82="Yes",'Equipment Analysis'!$C$7="Yes"),'Equipment Analysis'!$C$81,0)</f>
        <v>8662.5</v>
      </c>
      <c r="X154" s="35" t="n">
        <f aca="false">X116+IF(AND(X$3=24,'Equipment Analysis'!$C$82="Yes",'Equipment Analysis'!$C$7="Yes"),'Equipment Analysis'!$C$81,0)</f>
        <v>8662.5</v>
      </c>
      <c r="Y154" s="35" t="n">
        <f aca="false">Y116+IF(AND(Y$3=24,'Equipment Analysis'!$C$82="Yes",'Equipment Analysis'!$C$7="Yes"),'Equipment Analysis'!$C$81,0)</f>
        <v>8662.5</v>
      </c>
      <c r="Z154" s="35" t="n">
        <f aca="false">Z116+IF(AND(Z$3=24,'Equipment Analysis'!$C$82="Yes",'Equipment Analysis'!$C$7="Yes"),'Equipment Analysis'!$C$81,0)</f>
        <v>374766.538178524</v>
      </c>
    </row>
    <row r="155" customFormat="false" ht="15" hidden="false" customHeight="false" outlineLevel="0" collapsed="false">
      <c r="A155" s="11" t="s">
        <v>498</v>
      </c>
      <c r="C155" s="35" t="n">
        <f aca="false">C117+IF(AND(C$3=24,'Equipment Analysis'!$D$82="Yes",'Equipment Analysis'!$D$7="Yes"),'Equipment Analysis'!$D$81,0)</f>
        <v>0</v>
      </c>
      <c r="D155" s="35" t="n">
        <f aca="false">D117+IF(AND(D$3=24,'Equipment Analysis'!$D$82="Yes",'Equipment Analysis'!$D$7="Yes"),'Equipment Analysis'!$D$81,0)</f>
        <v>0</v>
      </c>
      <c r="E155" s="35" t="n">
        <f aca="false">E117+IF(AND(E$3=24,'Equipment Analysis'!$D$82="Yes",'Equipment Analysis'!$D$7="Yes"),'Equipment Analysis'!$D$81,0)</f>
        <v>0</v>
      </c>
      <c r="F155" s="35" t="n">
        <f aca="false">F117+IF(AND(F$3=24,'Equipment Analysis'!$D$82="Yes",'Equipment Analysis'!$D$7="Yes"),'Equipment Analysis'!$D$81,0)</f>
        <v>0</v>
      </c>
      <c r="G155" s="35" t="n">
        <f aca="false">G117+IF(AND(G$3=24,'Equipment Analysis'!$D$82="Yes",'Equipment Analysis'!$D$7="Yes"),'Equipment Analysis'!$D$81,0)</f>
        <v>0</v>
      </c>
      <c r="H155" s="35" t="n">
        <f aca="false">H117+IF(AND(H$3=24,'Equipment Analysis'!$D$82="Yes",'Equipment Analysis'!$D$7="Yes"),'Equipment Analysis'!$D$81,0)</f>
        <v>0</v>
      </c>
      <c r="I155" s="35" t="n">
        <f aca="false">I117+IF(AND(I$3=24,'Equipment Analysis'!$D$82="Yes",'Equipment Analysis'!$D$7="Yes"),'Equipment Analysis'!$D$81,0)</f>
        <v>0</v>
      </c>
      <c r="J155" s="35" t="n">
        <f aca="false">J117+IF(AND(J$3=24,'Equipment Analysis'!$D$82="Yes",'Equipment Analysis'!$D$7="Yes"),'Equipment Analysis'!$D$81,0)</f>
        <v>0</v>
      </c>
      <c r="K155" s="35" t="n">
        <f aca="false">K117+IF(AND(K$3=24,'Equipment Analysis'!$D$82="Yes",'Equipment Analysis'!$D$7="Yes"),'Equipment Analysis'!$D$81,0)</f>
        <v>0</v>
      </c>
      <c r="L155" s="35" t="n">
        <f aca="false">L117+IF(AND(L$3=24,'Equipment Analysis'!$D$82="Yes",'Equipment Analysis'!$D$7="Yes"),'Equipment Analysis'!$D$81,0)</f>
        <v>0</v>
      </c>
      <c r="M155" s="35" t="n">
        <f aca="false">M117+IF(AND(M$3=24,'Equipment Analysis'!$D$82="Yes",'Equipment Analysis'!$D$7="Yes"),'Equipment Analysis'!$D$81,0)</f>
        <v>0</v>
      </c>
      <c r="N155" s="35" t="n">
        <f aca="false">N117+IF(AND(N$3=24,'Equipment Analysis'!$D$82="Yes",'Equipment Analysis'!$D$7="Yes"),'Equipment Analysis'!$D$81,0)</f>
        <v>0</v>
      </c>
      <c r="O155" s="35" t="n">
        <f aca="false">O117+IF(AND(O$3=24,'Equipment Analysis'!$D$82="Yes",'Equipment Analysis'!$D$7="Yes"),'Equipment Analysis'!$D$81,0)</f>
        <v>0</v>
      </c>
      <c r="P155" s="35" t="n">
        <f aca="false">P117+IF(AND(P$3=24,'Equipment Analysis'!$D$82="Yes",'Equipment Analysis'!$D$7="Yes"),'Equipment Analysis'!$D$81,0)</f>
        <v>0</v>
      </c>
      <c r="Q155" s="35" t="n">
        <f aca="false">Q117+IF(AND(Q$3=24,'Equipment Analysis'!$D$82="Yes",'Equipment Analysis'!$D$7="Yes"),'Equipment Analysis'!$D$81,0)</f>
        <v>0</v>
      </c>
      <c r="R155" s="35" t="n">
        <f aca="false">R117+IF(AND(R$3=24,'Equipment Analysis'!$D$82="Yes",'Equipment Analysis'!$D$7="Yes"),'Equipment Analysis'!$D$81,0)</f>
        <v>0</v>
      </c>
      <c r="S155" s="35" t="n">
        <f aca="false">S117+IF(AND(S$3=24,'Equipment Analysis'!$D$82="Yes",'Equipment Analysis'!$D$7="Yes"),'Equipment Analysis'!$D$81,0)</f>
        <v>0</v>
      </c>
      <c r="T155" s="35" t="n">
        <f aca="false">T117+IF(AND(T$3=24,'Equipment Analysis'!$D$82="Yes",'Equipment Analysis'!$D$7="Yes"),'Equipment Analysis'!$D$81,0)</f>
        <v>0</v>
      </c>
      <c r="U155" s="35" t="n">
        <f aca="false">U117+IF(AND(U$3=24,'Equipment Analysis'!$D$82="Yes",'Equipment Analysis'!$D$7="Yes"),'Equipment Analysis'!$D$81,0)</f>
        <v>0</v>
      </c>
      <c r="V155" s="35" t="n">
        <f aca="false">V117+IF(AND(V$3=24,'Equipment Analysis'!$D$82="Yes",'Equipment Analysis'!$D$7="Yes"),'Equipment Analysis'!$D$81,0)</f>
        <v>0</v>
      </c>
      <c r="W155" s="35" t="n">
        <f aca="false">W117+IF(AND(W$3=24,'Equipment Analysis'!$D$82="Yes",'Equipment Analysis'!$D$7="Yes"),'Equipment Analysis'!$D$81,0)</f>
        <v>0</v>
      </c>
      <c r="X155" s="35" t="n">
        <f aca="false">X117+IF(AND(X$3=24,'Equipment Analysis'!$D$82="Yes",'Equipment Analysis'!$D$7="Yes"),'Equipment Analysis'!$D$81,0)</f>
        <v>0</v>
      </c>
      <c r="Y155" s="35" t="n">
        <f aca="false">Y117+IF(AND(Y$3=24,'Equipment Analysis'!$D$82="Yes",'Equipment Analysis'!$D$7="Yes"),'Equipment Analysis'!$D$81,0)</f>
        <v>0</v>
      </c>
      <c r="Z155" s="35" t="n">
        <f aca="false">Z117+IF(AND(Z$3=24,'Equipment Analysis'!$D$82="Yes",'Equipment Analysis'!$D$7="Yes"),'Equipment Analysis'!$D$81,0)</f>
        <v>0</v>
      </c>
    </row>
    <row r="156" customFormat="false" ht="15" hidden="false" customHeight="false" outlineLevel="0" collapsed="false">
      <c r="A156" s="11" t="s">
        <v>499</v>
      </c>
      <c r="C156" s="35" t="n">
        <f aca="false">C118+IF(AND(C$3=24,'Equipment Analysis'!$E$82="Yes",'Equipment Analysis'!$E$7="Yes"),'Equipment Analysis'!$E$81,0)</f>
        <v>0</v>
      </c>
      <c r="D156" s="35" t="n">
        <f aca="false">D118+IF(AND(D$3=24,'Equipment Analysis'!$E$82="Yes",'Equipment Analysis'!$E$7="Yes"),'Equipment Analysis'!$E$81,0)</f>
        <v>0</v>
      </c>
      <c r="E156" s="35" t="n">
        <f aca="false">E118+IF(AND(E$3=24,'Equipment Analysis'!$E$82="Yes",'Equipment Analysis'!$E$7="Yes"),'Equipment Analysis'!$E$81,0)</f>
        <v>0</v>
      </c>
      <c r="F156" s="35" t="n">
        <f aca="false">F118+IF(AND(F$3=24,'Equipment Analysis'!$E$82="Yes",'Equipment Analysis'!$E$7="Yes"),'Equipment Analysis'!$E$81,0)</f>
        <v>0</v>
      </c>
      <c r="G156" s="35" t="n">
        <f aca="false">G118+IF(AND(G$3=24,'Equipment Analysis'!$E$82="Yes",'Equipment Analysis'!$E$7="Yes"),'Equipment Analysis'!$E$81,0)</f>
        <v>0</v>
      </c>
      <c r="H156" s="35" t="n">
        <f aca="false">H118+IF(AND(H$3=24,'Equipment Analysis'!$E$82="Yes",'Equipment Analysis'!$E$7="Yes"),'Equipment Analysis'!$E$81,0)</f>
        <v>0</v>
      </c>
      <c r="I156" s="35" t="n">
        <f aca="false">I118+IF(AND(I$3=24,'Equipment Analysis'!$E$82="Yes",'Equipment Analysis'!$E$7="Yes"),'Equipment Analysis'!$E$81,0)</f>
        <v>0</v>
      </c>
      <c r="J156" s="35" t="n">
        <f aca="false">J118+IF(AND(J$3=24,'Equipment Analysis'!$E$82="Yes",'Equipment Analysis'!$E$7="Yes"),'Equipment Analysis'!$E$81,0)</f>
        <v>0</v>
      </c>
      <c r="K156" s="35" t="n">
        <f aca="false">K118+IF(AND(K$3=24,'Equipment Analysis'!$E$82="Yes",'Equipment Analysis'!$E$7="Yes"),'Equipment Analysis'!$E$81,0)</f>
        <v>0</v>
      </c>
      <c r="L156" s="35" t="n">
        <f aca="false">L118+IF(AND(L$3=24,'Equipment Analysis'!$E$82="Yes",'Equipment Analysis'!$E$7="Yes"),'Equipment Analysis'!$E$81,0)</f>
        <v>0</v>
      </c>
      <c r="M156" s="35" t="n">
        <f aca="false">M118+IF(AND(M$3=24,'Equipment Analysis'!$E$82="Yes",'Equipment Analysis'!$E$7="Yes"),'Equipment Analysis'!$E$81,0)</f>
        <v>0</v>
      </c>
      <c r="N156" s="35" t="n">
        <f aca="false">N118+IF(AND(N$3=24,'Equipment Analysis'!$E$82="Yes",'Equipment Analysis'!$E$7="Yes"),'Equipment Analysis'!$E$81,0)</f>
        <v>0</v>
      </c>
      <c r="O156" s="35" t="n">
        <f aca="false">O118+IF(AND(O$3=24,'Equipment Analysis'!$E$82="Yes",'Equipment Analysis'!$E$7="Yes"),'Equipment Analysis'!$E$81,0)</f>
        <v>0</v>
      </c>
      <c r="P156" s="35" t="n">
        <f aca="false">P118+IF(AND(P$3=24,'Equipment Analysis'!$E$82="Yes",'Equipment Analysis'!$E$7="Yes"),'Equipment Analysis'!$E$81,0)</f>
        <v>0</v>
      </c>
      <c r="Q156" s="35" t="n">
        <f aca="false">Q118+IF(AND(Q$3=24,'Equipment Analysis'!$E$82="Yes",'Equipment Analysis'!$E$7="Yes"),'Equipment Analysis'!$E$81,0)</f>
        <v>0</v>
      </c>
      <c r="R156" s="35" t="n">
        <f aca="false">R118+IF(AND(R$3=24,'Equipment Analysis'!$E$82="Yes",'Equipment Analysis'!$E$7="Yes"),'Equipment Analysis'!$E$81,0)</f>
        <v>0</v>
      </c>
      <c r="S156" s="35" t="n">
        <f aca="false">S118+IF(AND(S$3=24,'Equipment Analysis'!$E$82="Yes",'Equipment Analysis'!$E$7="Yes"),'Equipment Analysis'!$E$81,0)</f>
        <v>0</v>
      </c>
      <c r="T156" s="35" t="n">
        <f aca="false">T118+IF(AND(T$3=24,'Equipment Analysis'!$E$82="Yes",'Equipment Analysis'!$E$7="Yes"),'Equipment Analysis'!$E$81,0)</f>
        <v>0</v>
      </c>
      <c r="U156" s="35" t="n">
        <f aca="false">U118+IF(AND(U$3=24,'Equipment Analysis'!$E$82="Yes",'Equipment Analysis'!$E$7="Yes"),'Equipment Analysis'!$E$81,0)</f>
        <v>0</v>
      </c>
      <c r="V156" s="35" t="n">
        <f aca="false">V118+IF(AND(V$3=24,'Equipment Analysis'!$E$82="Yes",'Equipment Analysis'!$E$7="Yes"),'Equipment Analysis'!$E$81,0)</f>
        <v>0</v>
      </c>
      <c r="W156" s="35" t="n">
        <f aca="false">W118+IF(AND(W$3=24,'Equipment Analysis'!$E$82="Yes",'Equipment Analysis'!$E$7="Yes"),'Equipment Analysis'!$E$81,0)</f>
        <v>0</v>
      </c>
      <c r="X156" s="35" t="n">
        <f aca="false">X118+IF(AND(X$3=24,'Equipment Analysis'!$E$82="Yes",'Equipment Analysis'!$E$7="Yes"),'Equipment Analysis'!$E$81,0)</f>
        <v>0</v>
      </c>
      <c r="Y156" s="35" t="n">
        <f aca="false">Y118+IF(AND(Y$3=24,'Equipment Analysis'!$E$82="Yes",'Equipment Analysis'!$E$7="Yes"),'Equipment Analysis'!$E$81,0)</f>
        <v>0</v>
      </c>
      <c r="Z156" s="35" t="n">
        <f aca="false">Z118+IF(AND(Z$3=24,'Equipment Analysis'!$E$82="Yes",'Equipment Analysis'!$E$7="Yes"),'Equipment Analysis'!$E$81,0)</f>
        <v>0</v>
      </c>
    </row>
    <row r="157" customFormat="false" ht="15" hidden="false" customHeight="false" outlineLevel="0" collapsed="false">
      <c r="A157" s="11" t="s">
        <v>500</v>
      </c>
      <c r="C157" s="35" t="n">
        <f aca="false">C119+IF(AND(C$3=24,'Equipment Analysis'!$F$82="Yes",'Equipment Analysis'!$F$7="Yes"),'Equipment Analysis'!$F$81,0)</f>
        <v>0</v>
      </c>
      <c r="D157" s="35" t="n">
        <f aca="false">D119+IF(AND(D$3=24,'Equipment Analysis'!$F$82="Yes",'Equipment Analysis'!$F$7="Yes"),'Equipment Analysis'!$F$81,0)</f>
        <v>0</v>
      </c>
      <c r="E157" s="35" t="n">
        <f aca="false">E119+IF(AND(E$3=24,'Equipment Analysis'!$F$82="Yes",'Equipment Analysis'!$F$7="Yes"),'Equipment Analysis'!$F$81,0)</f>
        <v>0</v>
      </c>
      <c r="F157" s="35" t="n">
        <f aca="false">F119+IF(AND(F$3=24,'Equipment Analysis'!$F$82="Yes",'Equipment Analysis'!$F$7="Yes"),'Equipment Analysis'!$F$81,0)</f>
        <v>0</v>
      </c>
      <c r="G157" s="35" t="n">
        <f aca="false">G119+IF(AND(G$3=24,'Equipment Analysis'!$F$82="Yes",'Equipment Analysis'!$F$7="Yes"),'Equipment Analysis'!$F$81,0)</f>
        <v>0</v>
      </c>
      <c r="H157" s="35" t="n">
        <f aca="false">H119+IF(AND(H$3=24,'Equipment Analysis'!$F$82="Yes",'Equipment Analysis'!$F$7="Yes"),'Equipment Analysis'!$F$81,0)</f>
        <v>0</v>
      </c>
      <c r="I157" s="35" t="n">
        <f aca="false">I119+IF(AND(I$3=24,'Equipment Analysis'!$F$82="Yes",'Equipment Analysis'!$F$7="Yes"),'Equipment Analysis'!$F$81,0)</f>
        <v>0</v>
      </c>
      <c r="J157" s="35" t="n">
        <f aca="false">J119+IF(AND(J$3=24,'Equipment Analysis'!$F$82="Yes",'Equipment Analysis'!$F$7="Yes"),'Equipment Analysis'!$F$81,0)</f>
        <v>0</v>
      </c>
      <c r="K157" s="35" t="n">
        <f aca="false">K119+IF(AND(K$3=24,'Equipment Analysis'!$F$82="Yes",'Equipment Analysis'!$F$7="Yes"),'Equipment Analysis'!$F$81,0)</f>
        <v>0</v>
      </c>
      <c r="L157" s="35" t="n">
        <f aca="false">L119+IF(AND(L$3=24,'Equipment Analysis'!$F$82="Yes",'Equipment Analysis'!$F$7="Yes"),'Equipment Analysis'!$F$81,0)</f>
        <v>0</v>
      </c>
      <c r="M157" s="35" t="n">
        <f aca="false">M119+IF(AND(M$3=24,'Equipment Analysis'!$F$82="Yes",'Equipment Analysis'!$F$7="Yes"),'Equipment Analysis'!$F$81,0)</f>
        <v>0</v>
      </c>
      <c r="N157" s="35" t="n">
        <f aca="false">N119+IF(AND(N$3=24,'Equipment Analysis'!$F$82="Yes",'Equipment Analysis'!$F$7="Yes"),'Equipment Analysis'!$F$81,0)</f>
        <v>0</v>
      </c>
      <c r="O157" s="35" t="n">
        <f aca="false">O119+IF(AND(O$3=24,'Equipment Analysis'!$F$82="Yes",'Equipment Analysis'!$F$7="Yes"),'Equipment Analysis'!$F$81,0)</f>
        <v>0</v>
      </c>
      <c r="P157" s="35" t="n">
        <f aca="false">P119+IF(AND(P$3=24,'Equipment Analysis'!$F$82="Yes",'Equipment Analysis'!$F$7="Yes"),'Equipment Analysis'!$F$81,0)</f>
        <v>0</v>
      </c>
      <c r="Q157" s="35" t="n">
        <f aca="false">Q119+IF(AND(Q$3=24,'Equipment Analysis'!$F$82="Yes",'Equipment Analysis'!$F$7="Yes"),'Equipment Analysis'!$F$81,0)</f>
        <v>0</v>
      </c>
      <c r="R157" s="35" t="n">
        <f aca="false">R119+IF(AND(R$3=24,'Equipment Analysis'!$F$82="Yes",'Equipment Analysis'!$F$7="Yes"),'Equipment Analysis'!$F$81,0)</f>
        <v>0</v>
      </c>
      <c r="S157" s="35" t="n">
        <f aca="false">S119+IF(AND(S$3=24,'Equipment Analysis'!$F$82="Yes",'Equipment Analysis'!$F$7="Yes"),'Equipment Analysis'!$F$81,0)</f>
        <v>0</v>
      </c>
      <c r="T157" s="35" t="n">
        <f aca="false">T119+IF(AND(T$3=24,'Equipment Analysis'!$F$82="Yes",'Equipment Analysis'!$F$7="Yes"),'Equipment Analysis'!$F$81,0)</f>
        <v>0</v>
      </c>
      <c r="U157" s="35" t="n">
        <f aca="false">U119+IF(AND(U$3=24,'Equipment Analysis'!$F$82="Yes",'Equipment Analysis'!$F$7="Yes"),'Equipment Analysis'!$F$81,0)</f>
        <v>0</v>
      </c>
      <c r="V157" s="35" t="n">
        <f aca="false">V119+IF(AND(V$3=24,'Equipment Analysis'!$F$82="Yes",'Equipment Analysis'!$F$7="Yes"),'Equipment Analysis'!$F$81,0)</f>
        <v>0</v>
      </c>
      <c r="W157" s="35" t="n">
        <f aca="false">W119+IF(AND(W$3=24,'Equipment Analysis'!$F$82="Yes",'Equipment Analysis'!$F$7="Yes"),'Equipment Analysis'!$F$81,0)</f>
        <v>0</v>
      </c>
      <c r="X157" s="35" t="n">
        <f aca="false">X119+IF(AND(X$3=24,'Equipment Analysis'!$F$82="Yes",'Equipment Analysis'!$F$7="Yes"),'Equipment Analysis'!$F$81,0)</f>
        <v>0</v>
      </c>
      <c r="Y157" s="35" t="n">
        <f aca="false">Y119+IF(AND(Y$3=24,'Equipment Analysis'!$F$82="Yes",'Equipment Analysis'!$F$7="Yes"),'Equipment Analysis'!$F$81,0)</f>
        <v>0</v>
      </c>
      <c r="Z157" s="35" t="n">
        <f aca="false">Z119+IF(AND(Z$3=24,'Equipment Analysis'!$F$82="Yes",'Equipment Analysis'!$F$7="Yes"),'Equipment Analysis'!$F$81,0)</f>
        <v>0</v>
      </c>
    </row>
    <row r="158" customFormat="false" ht="15" hidden="false" customHeight="false" outlineLevel="0" collapsed="false">
      <c r="A158" s="11" t="s">
        <v>501</v>
      </c>
      <c r="C158" s="35" t="n">
        <f aca="false">C120+IF(AND(C$3=24,'Other Initiatives'!$C$33="Yes",'Other Initiatives'!$C$7="Yes"),'Other Initiatives'!$C$32,0)</f>
        <v>0</v>
      </c>
      <c r="D158" s="35" t="n">
        <f aca="false">D120+IF(AND(D$3=24,'Other Initiatives'!$C$33="Yes",'Other Initiatives'!$C$7="Yes"),'Other Initiatives'!$C$32,0)</f>
        <v>0</v>
      </c>
      <c r="E158" s="35" t="n">
        <f aca="false">E120+IF(AND(E$3=24,'Other Initiatives'!$C$33="Yes",'Other Initiatives'!$C$7="Yes"),'Other Initiatives'!$C$32,0)</f>
        <v>0</v>
      </c>
      <c r="F158" s="35" t="n">
        <f aca="false">F120+IF(AND(F$3=24,'Other Initiatives'!$C$33="Yes",'Other Initiatives'!$C$7="Yes"),'Other Initiatives'!$C$32,0)</f>
        <v>0</v>
      </c>
      <c r="G158" s="35" t="n">
        <f aca="false">G120+IF(AND(G$3=24,'Other Initiatives'!$C$33="Yes",'Other Initiatives'!$C$7="Yes"),'Other Initiatives'!$C$32,0)</f>
        <v>0</v>
      </c>
      <c r="H158" s="35" t="n">
        <f aca="false">H120+IF(AND(H$3=24,'Other Initiatives'!$C$33="Yes",'Other Initiatives'!$C$7="Yes"),'Other Initiatives'!$C$32,0)</f>
        <v>0</v>
      </c>
      <c r="I158" s="35" t="n">
        <f aca="false">I120+IF(AND(I$3=24,'Other Initiatives'!$C$33="Yes",'Other Initiatives'!$C$7="Yes"),'Other Initiatives'!$C$32,0)</f>
        <v>0</v>
      </c>
      <c r="J158" s="35" t="n">
        <f aca="false">J120+IF(AND(J$3=24,'Other Initiatives'!$C$33="Yes",'Other Initiatives'!$C$7="Yes"),'Other Initiatives'!$C$32,0)</f>
        <v>0</v>
      </c>
      <c r="K158" s="35" t="n">
        <f aca="false">K120+IF(AND(K$3=24,'Other Initiatives'!$C$33="Yes",'Other Initiatives'!$C$7="Yes"),'Other Initiatives'!$C$32,0)</f>
        <v>0</v>
      </c>
      <c r="L158" s="35" t="n">
        <f aca="false">L120+IF(AND(L$3=24,'Other Initiatives'!$C$33="Yes",'Other Initiatives'!$C$7="Yes"),'Other Initiatives'!$C$32,0)</f>
        <v>0</v>
      </c>
      <c r="M158" s="35" t="n">
        <f aca="false">M120+IF(AND(M$3=24,'Other Initiatives'!$C$33="Yes",'Other Initiatives'!$C$7="Yes"),'Other Initiatives'!$C$32,0)</f>
        <v>0</v>
      </c>
      <c r="N158" s="35" t="n">
        <f aca="false">N120+IF(AND(N$3=24,'Other Initiatives'!$C$33="Yes",'Other Initiatives'!$C$7="Yes"),'Other Initiatives'!$C$32,0)</f>
        <v>0</v>
      </c>
      <c r="O158" s="35" t="n">
        <f aca="false">O120+IF(AND(O$3=24,'Other Initiatives'!$C$33="Yes",'Other Initiatives'!$C$7="Yes"),'Other Initiatives'!$C$32,0)</f>
        <v>0</v>
      </c>
      <c r="P158" s="35" t="n">
        <f aca="false">P120+IF(AND(P$3=24,'Other Initiatives'!$C$33="Yes",'Other Initiatives'!$C$7="Yes"),'Other Initiatives'!$C$32,0)</f>
        <v>0</v>
      </c>
      <c r="Q158" s="35" t="n">
        <f aca="false">Q120+IF(AND(Q$3=24,'Other Initiatives'!$C$33="Yes",'Other Initiatives'!$C$7="Yes"),'Other Initiatives'!$C$32,0)</f>
        <v>0</v>
      </c>
      <c r="R158" s="35" t="n">
        <f aca="false">R120+IF(AND(R$3=24,'Other Initiatives'!$C$33="Yes",'Other Initiatives'!$C$7="Yes"),'Other Initiatives'!$C$32,0)</f>
        <v>0</v>
      </c>
      <c r="S158" s="35" t="n">
        <f aca="false">S120+IF(AND(S$3=24,'Other Initiatives'!$C$33="Yes",'Other Initiatives'!$C$7="Yes"),'Other Initiatives'!$C$32,0)</f>
        <v>0</v>
      </c>
      <c r="T158" s="35" t="n">
        <f aca="false">T120+IF(AND(T$3=24,'Other Initiatives'!$C$33="Yes",'Other Initiatives'!$C$7="Yes"),'Other Initiatives'!$C$32,0)</f>
        <v>0</v>
      </c>
      <c r="U158" s="35" t="n">
        <f aca="false">U120+IF(AND(U$3=24,'Other Initiatives'!$C$33="Yes",'Other Initiatives'!$C$7="Yes"),'Other Initiatives'!$C$32,0)</f>
        <v>0</v>
      </c>
      <c r="V158" s="35" t="n">
        <f aca="false">V120+IF(AND(V$3=24,'Other Initiatives'!$C$33="Yes",'Other Initiatives'!$C$7="Yes"),'Other Initiatives'!$C$32,0)</f>
        <v>0</v>
      </c>
      <c r="W158" s="35" t="n">
        <f aca="false">W120+IF(AND(W$3=24,'Other Initiatives'!$C$33="Yes",'Other Initiatives'!$C$7="Yes"),'Other Initiatives'!$C$32,0)</f>
        <v>0</v>
      </c>
      <c r="X158" s="35" t="n">
        <f aca="false">X120+IF(AND(X$3=24,'Other Initiatives'!$C$33="Yes",'Other Initiatives'!$C$7="Yes"),'Other Initiatives'!$C$32,0)</f>
        <v>0</v>
      </c>
      <c r="Y158" s="35" t="n">
        <f aca="false">Y120+IF(AND(Y$3=24,'Other Initiatives'!$C$33="Yes",'Other Initiatives'!$C$7="Yes"),'Other Initiatives'!$C$32,0)</f>
        <v>0</v>
      </c>
      <c r="Z158" s="35" t="n">
        <f aca="false">Z120+IF(AND(Z$3=24,'Other Initiatives'!$C$33="Yes",'Other Initiatives'!$C$7="Yes"),'Other Initiatives'!$C$32,0)</f>
        <v>0</v>
      </c>
    </row>
    <row r="159" customFormat="false" ht="15" hidden="false" customHeight="false" outlineLevel="0" collapsed="false">
      <c r="A159" s="11" t="s">
        <v>502</v>
      </c>
      <c r="C159" s="35" t="n">
        <f aca="false">C121+IF(AND(C$3=24,'Other Initiatives'!$D$33="Yes",'Other Initiatives'!$D$7="Yes"),'Other Initiatives'!$D$32,0)</f>
        <v>0</v>
      </c>
      <c r="D159" s="35" t="n">
        <f aca="false">D121+IF(AND(D$3=24,'Other Initiatives'!$D$33="Yes",'Other Initiatives'!$D$7="Yes"),'Other Initiatives'!$D$32,0)</f>
        <v>0</v>
      </c>
      <c r="E159" s="35" t="n">
        <f aca="false">E121+IF(AND(E$3=24,'Other Initiatives'!$D$33="Yes",'Other Initiatives'!$D$7="Yes"),'Other Initiatives'!$D$32,0)</f>
        <v>0</v>
      </c>
      <c r="F159" s="35" t="n">
        <f aca="false">F121+IF(AND(F$3=24,'Other Initiatives'!$D$33="Yes",'Other Initiatives'!$D$7="Yes"),'Other Initiatives'!$D$32,0)</f>
        <v>0</v>
      </c>
      <c r="G159" s="35" t="n">
        <f aca="false">G121+IF(AND(G$3=24,'Other Initiatives'!$D$33="Yes",'Other Initiatives'!$D$7="Yes"),'Other Initiatives'!$D$32,0)</f>
        <v>0</v>
      </c>
      <c r="H159" s="35" t="n">
        <f aca="false">H121+IF(AND(H$3=24,'Other Initiatives'!$D$33="Yes",'Other Initiatives'!$D$7="Yes"),'Other Initiatives'!$D$32,0)</f>
        <v>0</v>
      </c>
      <c r="I159" s="35" t="n">
        <f aca="false">I121+IF(AND(I$3=24,'Other Initiatives'!$D$33="Yes",'Other Initiatives'!$D$7="Yes"),'Other Initiatives'!$D$32,0)</f>
        <v>0</v>
      </c>
      <c r="J159" s="35" t="n">
        <f aca="false">J121+IF(AND(J$3=24,'Other Initiatives'!$D$33="Yes",'Other Initiatives'!$D$7="Yes"),'Other Initiatives'!$D$32,0)</f>
        <v>0</v>
      </c>
      <c r="K159" s="35" t="n">
        <f aca="false">K121+IF(AND(K$3=24,'Other Initiatives'!$D$33="Yes",'Other Initiatives'!$D$7="Yes"),'Other Initiatives'!$D$32,0)</f>
        <v>0</v>
      </c>
      <c r="L159" s="35" t="n">
        <f aca="false">L121+IF(AND(L$3=24,'Other Initiatives'!$D$33="Yes",'Other Initiatives'!$D$7="Yes"),'Other Initiatives'!$D$32,0)</f>
        <v>0</v>
      </c>
      <c r="M159" s="35" t="n">
        <f aca="false">M121+IF(AND(M$3=24,'Other Initiatives'!$D$33="Yes",'Other Initiatives'!$D$7="Yes"),'Other Initiatives'!$D$32,0)</f>
        <v>0</v>
      </c>
      <c r="N159" s="35" t="n">
        <f aca="false">N121+IF(AND(N$3=24,'Other Initiatives'!$D$33="Yes",'Other Initiatives'!$D$7="Yes"),'Other Initiatives'!$D$32,0)</f>
        <v>0</v>
      </c>
      <c r="O159" s="35" t="n">
        <f aca="false">O121+IF(AND(O$3=24,'Other Initiatives'!$D$33="Yes",'Other Initiatives'!$D$7="Yes"),'Other Initiatives'!$D$32,0)</f>
        <v>0</v>
      </c>
      <c r="P159" s="35" t="n">
        <f aca="false">P121+IF(AND(P$3=24,'Other Initiatives'!$D$33="Yes",'Other Initiatives'!$D$7="Yes"),'Other Initiatives'!$D$32,0)</f>
        <v>0</v>
      </c>
      <c r="Q159" s="35" t="n">
        <f aca="false">Q121+IF(AND(Q$3=24,'Other Initiatives'!$D$33="Yes",'Other Initiatives'!$D$7="Yes"),'Other Initiatives'!$D$32,0)</f>
        <v>0</v>
      </c>
      <c r="R159" s="35" t="n">
        <f aca="false">R121+IF(AND(R$3=24,'Other Initiatives'!$D$33="Yes",'Other Initiatives'!$D$7="Yes"),'Other Initiatives'!$D$32,0)</f>
        <v>0</v>
      </c>
      <c r="S159" s="35" t="n">
        <f aca="false">S121+IF(AND(S$3=24,'Other Initiatives'!$D$33="Yes",'Other Initiatives'!$D$7="Yes"),'Other Initiatives'!$D$32,0)</f>
        <v>0</v>
      </c>
      <c r="T159" s="35" t="n">
        <f aca="false">T121+IF(AND(T$3=24,'Other Initiatives'!$D$33="Yes",'Other Initiatives'!$D$7="Yes"),'Other Initiatives'!$D$32,0)</f>
        <v>0</v>
      </c>
      <c r="U159" s="35" t="n">
        <f aca="false">U121+IF(AND(U$3=24,'Other Initiatives'!$D$33="Yes",'Other Initiatives'!$D$7="Yes"),'Other Initiatives'!$D$32,0)</f>
        <v>0</v>
      </c>
      <c r="V159" s="35" t="n">
        <f aca="false">V121+IF(AND(V$3=24,'Other Initiatives'!$D$33="Yes",'Other Initiatives'!$D$7="Yes"),'Other Initiatives'!$D$32,0)</f>
        <v>0</v>
      </c>
      <c r="W159" s="35" t="n">
        <f aca="false">W121+IF(AND(W$3=24,'Other Initiatives'!$D$33="Yes",'Other Initiatives'!$D$7="Yes"),'Other Initiatives'!$D$32,0)</f>
        <v>0</v>
      </c>
      <c r="X159" s="35" t="n">
        <f aca="false">X121+IF(AND(X$3=24,'Other Initiatives'!$D$33="Yes",'Other Initiatives'!$D$7="Yes"),'Other Initiatives'!$D$32,0)</f>
        <v>0</v>
      </c>
      <c r="Y159" s="35" t="n">
        <f aca="false">Y121+IF(AND(Y$3=24,'Other Initiatives'!$D$33="Yes",'Other Initiatives'!$D$7="Yes"),'Other Initiatives'!$D$32,0)</f>
        <v>0</v>
      </c>
      <c r="Z159" s="35" t="n">
        <f aca="false">Z121+IF(AND(Z$3=24,'Other Initiatives'!$D$33="Yes",'Other Initiatives'!$D$7="Yes"),'Other Initiatives'!$D$32,0)</f>
        <v>0</v>
      </c>
    </row>
    <row r="160" customFormat="false" ht="15" hidden="false" customHeight="false" outlineLevel="0" collapsed="false">
      <c r="A160" s="11" t="s">
        <v>503</v>
      </c>
      <c r="C160" s="35" t="n">
        <f aca="false">C122+IF(AND(C$3=24,'Other Initiatives'!$E$33="Yes",'Other Initiatives'!$E$7="Yes"),'Other Initiatives'!$E$32,0)</f>
        <v>0</v>
      </c>
      <c r="D160" s="35" t="n">
        <f aca="false">D122+IF(AND(D$3=24,'Other Initiatives'!$E$33="Yes",'Other Initiatives'!$E$7="Yes"),'Other Initiatives'!$E$32,0)</f>
        <v>0</v>
      </c>
      <c r="E160" s="35" t="n">
        <f aca="false">E122+IF(AND(E$3=24,'Other Initiatives'!$E$33="Yes",'Other Initiatives'!$E$7="Yes"),'Other Initiatives'!$E$32,0)</f>
        <v>0</v>
      </c>
      <c r="F160" s="35" t="n">
        <f aca="false">F122+IF(AND(F$3=24,'Other Initiatives'!$E$33="Yes",'Other Initiatives'!$E$7="Yes"),'Other Initiatives'!$E$32,0)</f>
        <v>0</v>
      </c>
      <c r="G160" s="35" t="n">
        <f aca="false">G122+IF(AND(G$3=24,'Other Initiatives'!$E$33="Yes",'Other Initiatives'!$E$7="Yes"),'Other Initiatives'!$E$32,0)</f>
        <v>0</v>
      </c>
      <c r="H160" s="35" t="n">
        <f aca="false">H122+IF(AND(H$3=24,'Other Initiatives'!$E$33="Yes",'Other Initiatives'!$E$7="Yes"),'Other Initiatives'!$E$32,0)</f>
        <v>0</v>
      </c>
      <c r="I160" s="35" t="n">
        <f aca="false">I122+IF(AND(I$3=24,'Other Initiatives'!$E$33="Yes",'Other Initiatives'!$E$7="Yes"),'Other Initiatives'!$E$32,0)</f>
        <v>0</v>
      </c>
      <c r="J160" s="35" t="n">
        <f aca="false">J122+IF(AND(J$3=24,'Other Initiatives'!$E$33="Yes",'Other Initiatives'!$E$7="Yes"),'Other Initiatives'!$E$32,0)</f>
        <v>0</v>
      </c>
      <c r="K160" s="35" t="n">
        <f aca="false">K122+IF(AND(K$3=24,'Other Initiatives'!$E$33="Yes",'Other Initiatives'!$E$7="Yes"),'Other Initiatives'!$E$32,0)</f>
        <v>0</v>
      </c>
      <c r="L160" s="35" t="n">
        <f aca="false">L122+IF(AND(L$3=24,'Other Initiatives'!$E$33="Yes",'Other Initiatives'!$E$7="Yes"),'Other Initiatives'!$E$32,0)</f>
        <v>0</v>
      </c>
      <c r="M160" s="35" t="n">
        <f aca="false">M122+IF(AND(M$3=24,'Other Initiatives'!$E$33="Yes",'Other Initiatives'!$E$7="Yes"),'Other Initiatives'!$E$32,0)</f>
        <v>0</v>
      </c>
      <c r="N160" s="35" t="n">
        <f aca="false">N122+IF(AND(N$3=24,'Other Initiatives'!$E$33="Yes",'Other Initiatives'!$E$7="Yes"),'Other Initiatives'!$E$32,0)</f>
        <v>0</v>
      </c>
      <c r="O160" s="35" t="n">
        <f aca="false">O122+IF(AND(O$3=24,'Other Initiatives'!$E$33="Yes",'Other Initiatives'!$E$7="Yes"),'Other Initiatives'!$E$32,0)</f>
        <v>0</v>
      </c>
      <c r="P160" s="35" t="n">
        <f aca="false">P122+IF(AND(P$3=24,'Other Initiatives'!$E$33="Yes",'Other Initiatives'!$E$7="Yes"),'Other Initiatives'!$E$32,0)</f>
        <v>0</v>
      </c>
      <c r="Q160" s="35" t="n">
        <f aca="false">Q122+IF(AND(Q$3=24,'Other Initiatives'!$E$33="Yes",'Other Initiatives'!$E$7="Yes"),'Other Initiatives'!$E$32,0)</f>
        <v>0</v>
      </c>
      <c r="R160" s="35" t="n">
        <f aca="false">R122+IF(AND(R$3=24,'Other Initiatives'!$E$33="Yes",'Other Initiatives'!$E$7="Yes"),'Other Initiatives'!$E$32,0)</f>
        <v>0</v>
      </c>
      <c r="S160" s="35" t="n">
        <f aca="false">S122+IF(AND(S$3=24,'Other Initiatives'!$E$33="Yes",'Other Initiatives'!$E$7="Yes"),'Other Initiatives'!$E$32,0)</f>
        <v>0</v>
      </c>
      <c r="T160" s="35" t="n">
        <f aca="false">T122+IF(AND(T$3=24,'Other Initiatives'!$E$33="Yes",'Other Initiatives'!$E$7="Yes"),'Other Initiatives'!$E$32,0)</f>
        <v>0</v>
      </c>
      <c r="U160" s="35" t="n">
        <f aca="false">U122+IF(AND(U$3=24,'Other Initiatives'!$E$33="Yes",'Other Initiatives'!$E$7="Yes"),'Other Initiatives'!$E$32,0)</f>
        <v>0</v>
      </c>
      <c r="V160" s="35" t="n">
        <f aca="false">V122+IF(AND(V$3=24,'Other Initiatives'!$E$33="Yes",'Other Initiatives'!$E$7="Yes"),'Other Initiatives'!$E$32,0)</f>
        <v>0</v>
      </c>
      <c r="W160" s="35" t="n">
        <f aca="false">W122+IF(AND(W$3=24,'Other Initiatives'!$E$33="Yes",'Other Initiatives'!$E$7="Yes"),'Other Initiatives'!$E$32,0)</f>
        <v>0</v>
      </c>
      <c r="X160" s="35" t="n">
        <f aca="false">X122+IF(AND(X$3=24,'Other Initiatives'!$E$33="Yes",'Other Initiatives'!$E$7="Yes"),'Other Initiatives'!$E$32,0)</f>
        <v>0</v>
      </c>
      <c r="Y160" s="35" t="n">
        <f aca="false">Y122+IF(AND(Y$3=24,'Other Initiatives'!$E$33="Yes",'Other Initiatives'!$E$7="Yes"),'Other Initiatives'!$E$32,0)</f>
        <v>0</v>
      </c>
      <c r="Z160" s="35" t="n">
        <f aca="false">Z122+IF(AND(Z$3=24,'Other Initiatives'!$E$33="Yes",'Other Initiatives'!$E$7="Yes"),'Other Initiatives'!$E$32,0)</f>
        <v>0</v>
      </c>
    </row>
    <row r="161" customFormat="false" ht="15" hidden="false" customHeight="false" outlineLevel="0" collapsed="false">
      <c r="A161" s="11" t="s">
        <v>504</v>
      </c>
      <c r="C161" s="35" t="n">
        <f aca="false">C123+IF(AND(C$3=24,'Other Initiatives'!$F$33="Yes",'Other Initiatives'!$F$7="Yes"),'Other Initiatives'!$F$32,0)</f>
        <v>0</v>
      </c>
      <c r="D161" s="35" t="n">
        <f aca="false">D123+IF(AND(D$3=24,'Other Initiatives'!$F$33="Yes",'Other Initiatives'!$F$7="Yes"),'Other Initiatives'!$F$32,0)</f>
        <v>0</v>
      </c>
      <c r="E161" s="35" t="n">
        <f aca="false">E123+IF(AND(E$3=24,'Other Initiatives'!$F$33="Yes",'Other Initiatives'!$F$7="Yes"),'Other Initiatives'!$F$32,0)</f>
        <v>0</v>
      </c>
      <c r="F161" s="35" t="n">
        <f aca="false">F123+IF(AND(F$3=24,'Other Initiatives'!$F$33="Yes",'Other Initiatives'!$F$7="Yes"),'Other Initiatives'!$F$32,0)</f>
        <v>0</v>
      </c>
      <c r="G161" s="35" t="n">
        <f aca="false">G123+IF(AND(G$3=24,'Other Initiatives'!$F$33="Yes",'Other Initiatives'!$F$7="Yes"),'Other Initiatives'!$F$32,0)</f>
        <v>0</v>
      </c>
      <c r="H161" s="35" t="n">
        <f aca="false">H123+IF(AND(H$3=24,'Other Initiatives'!$F$33="Yes",'Other Initiatives'!$F$7="Yes"),'Other Initiatives'!$F$32,0)</f>
        <v>0</v>
      </c>
      <c r="I161" s="35" t="n">
        <f aca="false">I123+IF(AND(I$3=24,'Other Initiatives'!$F$33="Yes",'Other Initiatives'!$F$7="Yes"),'Other Initiatives'!$F$32,0)</f>
        <v>0</v>
      </c>
      <c r="J161" s="35" t="n">
        <f aca="false">J123+IF(AND(J$3=24,'Other Initiatives'!$F$33="Yes",'Other Initiatives'!$F$7="Yes"),'Other Initiatives'!$F$32,0)</f>
        <v>0</v>
      </c>
      <c r="K161" s="35" t="n">
        <f aca="false">K123+IF(AND(K$3=24,'Other Initiatives'!$F$33="Yes",'Other Initiatives'!$F$7="Yes"),'Other Initiatives'!$F$32,0)</f>
        <v>0</v>
      </c>
      <c r="L161" s="35" t="n">
        <f aca="false">L123+IF(AND(L$3=24,'Other Initiatives'!$F$33="Yes",'Other Initiatives'!$F$7="Yes"),'Other Initiatives'!$F$32,0)</f>
        <v>0</v>
      </c>
      <c r="M161" s="35" t="n">
        <f aca="false">M123+IF(AND(M$3=24,'Other Initiatives'!$F$33="Yes",'Other Initiatives'!$F$7="Yes"),'Other Initiatives'!$F$32,0)</f>
        <v>0</v>
      </c>
      <c r="N161" s="35" t="n">
        <f aca="false">N123+IF(AND(N$3=24,'Other Initiatives'!$F$33="Yes",'Other Initiatives'!$F$7="Yes"),'Other Initiatives'!$F$32,0)</f>
        <v>0</v>
      </c>
      <c r="O161" s="35" t="n">
        <f aca="false">O123+IF(AND(O$3=24,'Other Initiatives'!$F$33="Yes",'Other Initiatives'!$F$7="Yes"),'Other Initiatives'!$F$32,0)</f>
        <v>0</v>
      </c>
      <c r="P161" s="35" t="n">
        <f aca="false">P123+IF(AND(P$3=24,'Other Initiatives'!$F$33="Yes",'Other Initiatives'!$F$7="Yes"),'Other Initiatives'!$F$32,0)</f>
        <v>0</v>
      </c>
      <c r="Q161" s="35" t="n">
        <f aca="false">Q123+IF(AND(Q$3=24,'Other Initiatives'!$F$33="Yes",'Other Initiatives'!$F$7="Yes"),'Other Initiatives'!$F$32,0)</f>
        <v>0</v>
      </c>
      <c r="R161" s="35" t="n">
        <f aca="false">R123+IF(AND(R$3=24,'Other Initiatives'!$F$33="Yes",'Other Initiatives'!$F$7="Yes"),'Other Initiatives'!$F$32,0)</f>
        <v>0</v>
      </c>
      <c r="S161" s="35" t="n">
        <f aca="false">S123+IF(AND(S$3=24,'Other Initiatives'!$F$33="Yes",'Other Initiatives'!$F$7="Yes"),'Other Initiatives'!$F$32,0)</f>
        <v>0</v>
      </c>
      <c r="T161" s="35" t="n">
        <f aca="false">T123+IF(AND(T$3=24,'Other Initiatives'!$F$33="Yes",'Other Initiatives'!$F$7="Yes"),'Other Initiatives'!$F$32,0)</f>
        <v>0</v>
      </c>
      <c r="U161" s="35" t="n">
        <f aca="false">U123+IF(AND(U$3=24,'Other Initiatives'!$F$33="Yes",'Other Initiatives'!$F$7="Yes"),'Other Initiatives'!$F$32,0)</f>
        <v>0</v>
      </c>
      <c r="V161" s="35" t="n">
        <f aca="false">V123+IF(AND(V$3=24,'Other Initiatives'!$F$33="Yes",'Other Initiatives'!$F$7="Yes"),'Other Initiatives'!$F$32,0)</f>
        <v>0</v>
      </c>
      <c r="W161" s="35" t="n">
        <f aca="false">W123+IF(AND(W$3=24,'Other Initiatives'!$F$33="Yes",'Other Initiatives'!$F$7="Yes"),'Other Initiatives'!$F$32,0)</f>
        <v>0</v>
      </c>
      <c r="X161" s="35" t="n">
        <f aca="false">X123+IF(AND(X$3=24,'Other Initiatives'!$F$33="Yes",'Other Initiatives'!$F$7="Yes"),'Other Initiatives'!$F$32,0)</f>
        <v>0</v>
      </c>
      <c r="Y161" s="35" t="n">
        <f aca="false">Y123+IF(AND(Y$3=24,'Other Initiatives'!$F$33="Yes",'Other Initiatives'!$F$7="Yes"),'Other Initiatives'!$F$32,0)</f>
        <v>0</v>
      </c>
      <c r="Z161" s="35" t="n">
        <f aca="false">Z123+IF(AND(Z$3=24,'Other Initiatives'!$F$33="Yes",'Other Initiatives'!$F$7="Yes"),'Other Initiatives'!$F$32,0)</f>
        <v>0</v>
      </c>
    </row>
    <row r="162" customFormat="false" ht="15" hidden="false" customHeight="false" outlineLevel="0" collapsed="false">
      <c r="A162" s="6" t="s">
        <v>505</v>
      </c>
      <c r="C162" s="37" t="n">
        <f aca="false">SUM(C148:C153)</f>
        <v>0</v>
      </c>
      <c r="D162" s="37" t="n">
        <f aca="false">SUM(D148:D153)</f>
        <v>-22433.9114583333</v>
      </c>
      <c r="E162" s="37" t="n">
        <f aca="false">SUM(E148:E153)</f>
        <v>-3585.99479166667</v>
      </c>
      <c r="F162" s="37" t="n">
        <f aca="false">SUM(F148:F153)</f>
        <v>-1613.078125</v>
      </c>
      <c r="G162" s="37" t="n">
        <f aca="false">SUM(G148:G153)</f>
        <v>359.838541666667</v>
      </c>
      <c r="H162" s="37" t="n">
        <f aca="false">SUM(H148:H153)</f>
        <v>2332.75520833333</v>
      </c>
      <c r="I162" s="37" t="n">
        <f aca="false">SUM(I148:I153)</f>
        <v>4305.671875</v>
      </c>
      <c r="J162" s="37" t="n">
        <f aca="false">SUM(J148:J153)</f>
        <v>4305.671875</v>
      </c>
      <c r="K162" s="37" t="n">
        <f aca="false">SUM(K148:K153)</f>
        <v>4305.671875</v>
      </c>
      <c r="L162" s="37" t="n">
        <f aca="false">SUM(L148:L153)</f>
        <v>4305.671875</v>
      </c>
      <c r="M162" s="37" t="n">
        <f aca="false">SUM(M148:M153)</f>
        <v>4305.671875</v>
      </c>
      <c r="N162" s="37" t="n">
        <f aca="false">SUM(N148:N153)</f>
        <v>4305.671875</v>
      </c>
      <c r="O162" s="37" t="n">
        <f aca="false">SUM(O148:O153)</f>
        <v>4305.671875</v>
      </c>
      <c r="P162" s="37" t="n">
        <f aca="false">SUM(P148:P153)</f>
        <v>4305.671875</v>
      </c>
      <c r="Q162" s="37" t="n">
        <f aca="false">SUM(Q148:Q153)</f>
        <v>4305.671875</v>
      </c>
      <c r="R162" s="37" t="n">
        <f aca="false">SUM(R148:R153)</f>
        <v>4305.671875</v>
      </c>
      <c r="S162" s="37" t="n">
        <f aca="false">SUM(S148:S153)</f>
        <v>4305.671875</v>
      </c>
      <c r="T162" s="37" t="n">
        <f aca="false">SUM(T148:T153)</f>
        <v>4305.671875</v>
      </c>
      <c r="U162" s="37" t="n">
        <f aca="false">SUM(U148:U153)</f>
        <v>4305.671875</v>
      </c>
      <c r="V162" s="37" t="n">
        <f aca="false">SUM(V148:V153)</f>
        <v>4305.671875</v>
      </c>
      <c r="W162" s="37" t="n">
        <f aca="false">SUM(W148:W153)</f>
        <v>4305.671875</v>
      </c>
      <c r="X162" s="37" t="n">
        <f aca="false">SUM(X148:X153)</f>
        <v>4305.671875</v>
      </c>
      <c r="Y162" s="37" t="n">
        <f aca="false">SUM(Y148:Y153)</f>
        <v>4305.671875</v>
      </c>
      <c r="Z162" s="37" t="n">
        <f aca="false">SUM(Z148:Z153)</f>
        <v>52702.7017547727</v>
      </c>
    </row>
    <row r="163" customFormat="false" ht="15" hidden="false" customHeight="false" outlineLevel="0" collapsed="false">
      <c r="A163" s="6" t="s">
        <v>506</v>
      </c>
      <c r="C163" s="37" t="n">
        <f aca="false">SUM(C154:C157)</f>
        <v>0</v>
      </c>
      <c r="D163" s="37" t="n">
        <f aca="false">SUM(D154:D157)</f>
        <v>0</v>
      </c>
      <c r="E163" s="37" t="n">
        <f aca="false">SUM(E154:E157)</f>
        <v>-205763.333333333</v>
      </c>
      <c r="F163" s="37" t="n">
        <f aca="false">SUM(F154:F157)</f>
        <v>8194.16666666667</v>
      </c>
      <c r="G163" s="37" t="n">
        <f aca="false">SUM(G154:G157)</f>
        <v>10631.6666666667</v>
      </c>
      <c r="H163" s="37" t="n">
        <f aca="false">SUM(H154:H157)</f>
        <v>13069.1666666667</v>
      </c>
      <c r="I163" s="37" t="n">
        <f aca="false">SUM(I154:I157)</f>
        <v>13069.1666666667</v>
      </c>
      <c r="J163" s="37" t="n">
        <f aca="false">SUM(J154:J157)</f>
        <v>13069.1666666667</v>
      </c>
      <c r="K163" s="37" t="n">
        <f aca="false">SUM(K154:K157)</f>
        <v>13069.1666666667</v>
      </c>
      <c r="L163" s="37" t="n">
        <f aca="false">SUM(L154:L157)</f>
        <v>13069.1666666667</v>
      </c>
      <c r="M163" s="37" t="n">
        <f aca="false">SUM(M154:M157)</f>
        <v>13069.1666666667</v>
      </c>
      <c r="N163" s="37" t="n">
        <f aca="false">SUM(N154:N157)</f>
        <v>13069.1666666667</v>
      </c>
      <c r="O163" s="37" t="n">
        <f aca="false">SUM(O154:O157)</f>
        <v>13069.1666666667</v>
      </c>
      <c r="P163" s="37" t="n">
        <f aca="false">SUM(P154:P157)</f>
        <v>13069.1666666667</v>
      </c>
      <c r="Q163" s="37" t="n">
        <f aca="false">SUM(Q154:Q157)</f>
        <v>8662.5</v>
      </c>
      <c r="R163" s="37" t="n">
        <f aca="false">SUM(R154:R157)</f>
        <v>8662.5</v>
      </c>
      <c r="S163" s="37" t="n">
        <f aca="false">SUM(S154:S157)</f>
        <v>8662.5</v>
      </c>
      <c r="T163" s="37" t="n">
        <f aca="false">SUM(T154:T157)</f>
        <v>8662.5</v>
      </c>
      <c r="U163" s="37" t="n">
        <f aca="false">SUM(U154:U157)</f>
        <v>8662.5</v>
      </c>
      <c r="V163" s="37" t="n">
        <f aca="false">SUM(V154:V157)</f>
        <v>8662.5</v>
      </c>
      <c r="W163" s="37" t="n">
        <f aca="false">SUM(W154:W157)</f>
        <v>8662.5</v>
      </c>
      <c r="X163" s="37" t="n">
        <f aca="false">SUM(X154:X157)</f>
        <v>8662.5</v>
      </c>
      <c r="Y163" s="37" t="n">
        <f aca="false">SUM(Y154:Y157)</f>
        <v>8662.5</v>
      </c>
      <c r="Z163" s="37" t="n">
        <f aca="false">SUM(Z154:Z157)</f>
        <v>374766.538178524</v>
      </c>
    </row>
    <row r="164" customFormat="false" ht="15" hidden="false" customHeight="false" outlineLevel="0" collapsed="false">
      <c r="A164" s="6" t="s">
        <v>507</v>
      </c>
      <c r="C164" s="37" t="n">
        <f aca="false">SUM(C158:C161)</f>
        <v>0</v>
      </c>
      <c r="D164" s="37" t="n">
        <f aca="false">SUM(D158:D161)</f>
        <v>0</v>
      </c>
      <c r="E164" s="37" t="n">
        <f aca="false">SUM(E158:E161)</f>
        <v>0</v>
      </c>
      <c r="F164" s="37" t="n">
        <f aca="false">SUM(F158:F161)</f>
        <v>0</v>
      </c>
      <c r="G164" s="37" t="n">
        <f aca="false">SUM(G158:G161)</f>
        <v>0</v>
      </c>
      <c r="H164" s="37" t="n">
        <f aca="false">SUM(H158:H161)</f>
        <v>0</v>
      </c>
      <c r="I164" s="37" t="n">
        <f aca="false">SUM(I158:I161)</f>
        <v>0</v>
      </c>
      <c r="J164" s="37" t="n">
        <f aca="false">SUM(J158:J161)</f>
        <v>0</v>
      </c>
      <c r="K164" s="37" t="n">
        <f aca="false">SUM(K158:K161)</f>
        <v>0</v>
      </c>
      <c r="L164" s="37" t="n">
        <f aca="false">SUM(L158:L161)</f>
        <v>0</v>
      </c>
      <c r="M164" s="37" t="n">
        <f aca="false">SUM(M158:M161)</f>
        <v>0</v>
      </c>
      <c r="N164" s="37" t="n">
        <f aca="false">SUM(N158:N161)</f>
        <v>0</v>
      </c>
      <c r="O164" s="37" t="n">
        <f aca="false">SUM(O158:O161)</f>
        <v>0</v>
      </c>
      <c r="P164" s="37" t="n">
        <f aca="false">SUM(P158:P161)</f>
        <v>0</v>
      </c>
      <c r="Q164" s="37" t="n">
        <f aca="false">SUM(Q158:Q161)</f>
        <v>0</v>
      </c>
      <c r="R164" s="37" t="n">
        <f aca="false">SUM(R158:R161)</f>
        <v>0</v>
      </c>
      <c r="S164" s="37" t="n">
        <f aca="false">SUM(S158:S161)</f>
        <v>0</v>
      </c>
      <c r="T164" s="37" t="n">
        <f aca="false">SUM(T158:T161)</f>
        <v>0</v>
      </c>
      <c r="U164" s="37" t="n">
        <f aca="false">SUM(U158:U161)</f>
        <v>0</v>
      </c>
      <c r="V164" s="37" t="n">
        <f aca="false">SUM(V158:V161)</f>
        <v>0</v>
      </c>
      <c r="W164" s="37" t="n">
        <f aca="false">SUM(W158:W161)</f>
        <v>0</v>
      </c>
      <c r="X164" s="37" t="n">
        <f aca="false">SUM(X158:X161)</f>
        <v>0</v>
      </c>
      <c r="Y164" s="37" t="n">
        <f aca="false">SUM(Y158:Y161)</f>
        <v>0</v>
      </c>
      <c r="Z164" s="37" t="n">
        <f aca="false">SUM(Z158:Z161)</f>
        <v>0</v>
      </c>
    </row>
    <row r="165" customFormat="false" ht="15" hidden="false" customHeight="false" outlineLevel="0" collapsed="false">
      <c r="A165" s="6" t="s">
        <v>508</v>
      </c>
      <c r="C165" s="37" t="n">
        <f aca="false">C162+C163+C164</f>
        <v>0</v>
      </c>
      <c r="D165" s="37" t="n">
        <f aca="false">D162+D163+D164</f>
        <v>-22433.9114583333</v>
      </c>
      <c r="E165" s="37" t="n">
        <f aca="false">E162+E163+E164</f>
        <v>-209349.328125</v>
      </c>
      <c r="F165" s="37" t="n">
        <f aca="false">F162+F163+F164</f>
        <v>6581.08854166667</v>
      </c>
      <c r="G165" s="37" t="n">
        <f aca="false">G162+G163+G164</f>
        <v>10991.5052083333</v>
      </c>
      <c r="H165" s="37" t="n">
        <f aca="false">H162+H163+H164</f>
        <v>15401.921875</v>
      </c>
      <c r="I165" s="37" t="n">
        <f aca="false">I162+I163+I164</f>
        <v>17374.8385416667</v>
      </c>
      <c r="J165" s="37" t="n">
        <f aca="false">J162+J163+J164</f>
        <v>17374.8385416667</v>
      </c>
      <c r="K165" s="37" t="n">
        <f aca="false">K162+K163+K164</f>
        <v>17374.8385416667</v>
      </c>
      <c r="L165" s="37" t="n">
        <f aca="false">L162+L163+L164</f>
        <v>17374.8385416667</v>
      </c>
      <c r="M165" s="37" t="n">
        <f aca="false">M162+M163+M164</f>
        <v>17374.8385416667</v>
      </c>
      <c r="N165" s="37" t="n">
        <f aca="false">N162+N163+N164</f>
        <v>17374.8385416667</v>
      </c>
      <c r="O165" s="37" t="n">
        <f aca="false">O162+O163+O164</f>
        <v>17374.8385416667</v>
      </c>
      <c r="P165" s="37" t="n">
        <f aca="false">P162+P163+P164</f>
        <v>17374.8385416667</v>
      </c>
      <c r="Q165" s="37" t="n">
        <f aca="false">Q162+Q163+Q164</f>
        <v>12968.171875</v>
      </c>
      <c r="R165" s="37" t="n">
        <f aca="false">R162+R163+R164</f>
        <v>12968.171875</v>
      </c>
      <c r="S165" s="37" t="n">
        <f aca="false">S162+S163+S164</f>
        <v>12968.171875</v>
      </c>
      <c r="T165" s="37" t="n">
        <f aca="false">T162+T163+T164</f>
        <v>12968.171875</v>
      </c>
      <c r="U165" s="37" t="n">
        <f aca="false">U162+U163+U164</f>
        <v>12968.171875</v>
      </c>
      <c r="V165" s="37" t="n">
        <f aca="false">V162+V163+V164</f>
        <v>12968.171875</v>
      </c>
      <c r="W165" s="37" t="n">
        <f aca="false">W162+W163+W164</f>
        <v>12968.171875</v>
      </c>
      <c r="X165" s="37" t="n">
        <f aca="false">X162+X163+X164</f>
        <v>12968.171875</v>
      </c>
      <c r="Y165" s="37" t="n">
        <f aca="false">Y162+Y163+Y164</f>
        <v>12968.171875</v>
      </c>
      <c r="Z165" s="37" t="n">
        <f aca="false">Z162+Z163+Z164</f>
        <v>427469.239933297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
    <col collapsed="false" customWidth="true" hidden="false" outlineLevel="0" max="26" min="3" style="0" width="12"/>
  </cols>
  <sheetData>
    <row r="1" customFormat="false" ht="17.35" hidden="false" customHeight="false" outlineLevel="0" collapsed="false">
      <c r="A1" s="10" t="s">
        <v>509</v>
      </c>
    </row>
    <row r="2" customFormat="false" ht="15" hidden="false" customHeight="false" outlineLevel="0" collapsed="false">
      <c r="A2" s="3" t="s">
        <v>510</v>
      </c>
    </row>
    <row r="3" customFormat="false" ht="15" hidden="false" customHeight="false" outlineLevel="0" collapsed="false">
      <c r="A3" s="6" t="s">
        <v>350</v>
      </c>
      <c r="C3" s="33" t="n">
        <v>1</v>
      </c>
      <c r="D3" s="33" t="n">
        <v>2</v>
      </c>
      <c r="E3" s="33" t="n">
        <v>3</v>
      </c>
      <c r="F3" s="33" t="n">
        <v>4</v>
      </c>
      <c r="G3" s="33" t="n">
        <v>5</v>
      </c>
      <c r="H3" s="33" t="n">
        <v>6</v>
      </c>
      <c r="I3" s="33" t="n">
        <v>7</v>
      </c>
      <c r="J3" s="33" t="n">
        <v>8</v>
      </c>
      <c r="K3" s="33" t="n">
        <v>9</v>
      </c>
      <c r="L3" s="33" t="n">
        <v>10</v>
      </c>
      <c r="M3" s="33" t="n">
        <v>11</v>
      </c>
      <c r="N3" s="33" t="n">
        <v>12</v>
      </c>
      <c r="O3" s="33" t="n">
        <v>13</v>
      </c>
      <c r="P3" s="33" t="n">
        <v>14</v>
      </c>
      <c r="Q3" s="33" t="n">
        <v>15</v>
      </c>
      <c r="R3" s="33" t="n">
        <v>16</v>
      </c>
      <c r="S3" s="33" t="n">
        <v>17</v>
      </c>
      <c r="T3" s="33" t="n">
        <v>18</v>
      </c>
      <c r="U3" s="33" t="n">
        <v>19</v>
      </c>
      <c r="V3" s="33" t="n">
        <v>20</v>
      </c>
      <c r="W3" s="33" t="n">
        <v>21</v>
      </c>
      <c r="X3" s="33" t="n">
        <v>22</v>
      </c>
      <c r="Y3" s="33" t="n">
        <v>23</v>
      </c>
      <c r="Z3" s="33" t="n">
        <v>24</v>
      </c>
    </row>
    <row r="4" customFormat="false" ht="15" hidden="false" customHeight="false" outlineLevel="0" collapsed="false">
      <c r="A4" s="6" t="s">
        <v>351</v>
      </c>
      <c r="C4" s="34" t="n">
        <f aca="false">EOMONTH(Assumptions!$B$6,C3-1)</f>
        <v>46326</v>
      </c>
      <c r="D4" s="34" t="n">
        <f aca="false">EOMONTH(Assumptions!$B$6,D3-1)</f>
        <v>46356</v>
      </c>
      <c r="E4" s="34" t="n">
        <f aca="false">EOMONTH(Assumptions!$B$6,E3-1)</f>
        <v>46387</v>
      </c>
      <c r="F4" s="34" t="n">
        <f aca="false">EOMONTH(Assumptions!$B$6,F3-1)</f>
        <v>46418</v>
      </c>
      <c r="G4" s="34" t="n">
        <f aca="false">EOMONTH(Assumptions!$B$6,G3-1)</f>
        <v>46446</v>
      </c>
      <c r="H4" s="34" t="n">
        <f aca="false">EOMONTH(Assumptions!$B$6,H3-1)</f>
        <v>46477</v>
      </c>
      <c r="I4" s="34" t="n">
        <f aca="false">EOMONTH(Assumptions!$B$6,I3-1)</f>
        <v>46507</v>
      </c>
      <c r="J4" s="34" t="n">
        <f aca="false">EOMONTH(Assumptions!$B$6,J3-1)</f>
        <v>46538</v>
      </c>
      <c r="K4" s="34" t="n">
        <f aca="false">EOMONTH(Assumptions!$B$6,K3-1)</f>
        <v>46568</v>
      </c>
      <c r="L4" s="34" t="n">
        <f aca="false">EOMONTH(Assumptions!$B$6,L3-1)</f>
        <v>46599</v>
      </c>
      <c r="M4" s="34" t="n">
        <f aca="false">EOMONTH(Assumptions!$B$6,M3-1)</f>
        <v>46630</v>
      </c>
      <c r="N4" s="34" t="n">
        <f aca="false">EOMONTH(Assumptions!$B$6,N3-1)</f>
        <v>46660</v>
      </c>
      <c r="O4" s="34" t="n">
        <f aca="false">EOMONTH(Assumptions!$B$6,O3-1)</f>
        <v>46691</v>
      </c>
      <c r="P4" s="34" t="n">
        <f aca="false">EOMONTH(Assumptions!$B$6,P3-1)</f>
        <v>46721</v>
      </c>
      <c r="Q4" s="34" t="n">
        <f aca="false">EOMONTH(Assumptions!$B$6,Q3-1)</f>
        <v>46752</v>
      </c>
      <c r="R4" s="34" t="n">
        <f aca="false">EOMONTH(Assumptions!$B$6,R3-1)</f>
        <v>46783</v>
      </c>
      <c r="S4" s="34" t="n">
        <f aca="false">EOMONTH(Assumptions!$B$6,S3-1)</f>
        <v>46812</v>
      </c>
      <c r="T4" s="34" t="n">
        <f aca="false">EOMONTH(Assumptions!$B$6,T3-1)</f>
        <v>46843</v>
      </c>
      <c r="U4" s="34" t="n">
        <f aca="false">EOMONTH(Assumptions!$B$6,U3-1)</f>
        <v>46873</v>
      </c>
      <c r="V4" s="34" t="n">
        <f aca="false">EOMONTH(Assumptions!$B$6,V3-1)</f>
        <v>46904</v>
      </c>
      <c r="W4" s="34" t="n">
        <f aca="false">EOMONTH(Assumptions!$B$6,W3-1)</f>
        <v>46934</v>
      </c>
      <c r="X4" s="34" t="n">
        <f aca="false">EOMONTH(Assumptions!$B$6,X3-1)</f>
        <v>46965</v>
      </c>
      <c r="Y4" s="34" t="n">
        <f aca="false">EOMONTH(Assumptions!$B$6,Y3-1)</f>
        <v>46996</v>
      </c>
      <c r="Z4" s="34" t="n">
        <f aca="false">EOMONTH(Assumptions!$B$6,Z3-1)</f>
        <v>47026</v>
      </c>
    </row>
    <row r="6" customFormat="false" ht="15" hidden="false" customHeight="false" outlineLevel="0" collapsed="false">
      <c r="A6" s="4" t="s">
        <v>511</v>
      </c>
      <c r="B6" s="5"/>
      <c r="C6" s="5"/>
      <c r="D6" s="5"/>
      <c r="E6" s="5"/>
      <c r="F6" s="5"/>
      <c r="G6" s="5"/>
      <c r="H6" s="5"/>
      <c r="I6" s="5"/>
      <c r="J6" s="5"/>
      <c r="K6" s="5"/>
      <c r="L6" s="5"/>
      <c r="M6" s="5"/>
      <c r="N6" s="5"/>
      <c r="O6" s="5"/>
      <c r="P6" s="5"/>
      <c r="Q6" s="5"/>
      <c r="R6" s="5"/>
      <c r="S6" s="5"/>
      <c r="T6" s="5"/>
      <c r="U6" s="5"/>
      <c r="V6" s="5"/>
      <c r="W6" s="5"/>
      <c r="X6" s="5"/>
      <c r="Y6" s="5"/>
      <c r="Z6" s="5"/>
    </row>
    <row r="7" customFormat="false" ht="15" hidden="false" customHeight="false" outlineLevel="0" collapsed="false">
      <c r="A7" s="11" t="s">
        <v>512</v>
      </c>
      <c r="C7" s="35" t="n">
        <f aca="false">Assumptions!$B$13</f>
        <v>500000</v>
      </c>
      <c r="D7" s="35" t="n">
        <f aca="false">C7*(1+Assumptions!$B$14*Assumptions!$B$63)</f>
        <v>502500</v>
      </c>
      <c r="E7" s="35" t="n">
        <f aca="false">D7*(1+Assumptions!$B$14*Assumptions!$B$63)</f>
        <v>505012.5</v>
      </c>
      <c r="F7" s="35" t="n">
        <f aca="false">E7*(1+Assumptions!$B$14*Assumptions!$B$63)</f>
        <v>507537.5625</v>
      </c>
      <c r="G7" s="35" t="n">
        <f aca="false">F7*(1+Assumptions!$B$14*Assumptions!$B$63)</f>
        <v>510075.2503125</v>
      </c>
      <c r="H7" s="35" t="n">
        <f aca="false">G7*(1+Assumptions!$B$14*Assumptions!$B$63)</f>
        <v>512625.626564062</v>
      </c>
      <c r="I7" s="35" t="n">
        <f aca="false">H7*(1+Assumptions!$B$14*Assumptions!$B$63)</f>
        <v>515188.754696882</v>
      </c>
      <c r="J7" s="35" t="n">
        <f aca="false">I7*(1+Assumptions!$B$14*Assumptions!$B$63)</f>
        <v>517764.698470367</v>
      </c>
      <c r="K7" s="35" t="n">
        <f aca="false">J7*(1+Assumptions!$B$14*Assumptions!$B$63)</f>
        <v>520353.521962719</v>
      </c>
      <c r="L7" s="35" t="n">
        <f aca="false">K7*(1+Assumptions!$B$14*Assumptions!$B$63)</f>
        <v>522955.289572532</v>
      </c>
      <c r="M7" s="35" t="n">
        <f aca="false">L7*(1+Assumptions!$B$14*Assumptions!$B$63)</f>
        <v>525570.066020395</v>
      </c>
      <c r="N7" s="35" t="n">
        <f aca="false">M7*(1+Assumptions!$B$14*Assumptions!$B$63)</f>
        <v>528197.916350497</v>
      </c>
      <c r="O7" s="35" t="n">
        <f aca="false">N7*(1+Assumptions!$B$14*Assumptions!$B$63)</f>
        <v>530838.905932249</v>
      </c>
      <c r="P7" s="35" t="n">
        <f aca="false">O7*(1+Assumptions!$B$14*Assumptions!$B$63)</f>
        <v>533493.10046191</v>
      </c>
      <c r="Q7" s="35" t="n">
        <f aca="false">P7*(1+Assumptions!$B$14*Assumptions!$B$63)</f>
        <v>536160.56596422</v>
      </c>
      <c r="R7" s="35" t="n">
        <f aca="false">Q7*(1+Assumptions!$B$14*Assumptions!$B$63)</f>
        <v>538841.368794041</v>
      </c>
      <c r="S7" s="35" t="n">
        <f aca="false">R7*(1+Assumptions!$B$14*Assumptions!$B$63)</f>
        <v>541535.575638011</v>
      </c>
      <c r="T7" s="35" t="n">
        <f aca="false">S7*(1+Assumptions!$B$14*Assumptions!$B$63)</f>
        <v>544243.253516201</v>
      </c>
      <c r="U7" s="35" t="n">
        <f aca="false">T7*(1+Assumptions!$B$14*Assumptions!$B$63)</f>
        <v>546964.469783782</v>
      </c>
      <c r="V7" s="35" t="n">
        <f aca="false">U7*(1+Assumptions!$B$14*Assumptions!$B$63)</f>
        <v>549699.292132701</v>
      </c>
      <c r="W7" s="35" t="n">
        <f aca="false">V7*(1+Assumptions!$B$14*Assumptions!$B$63)</f>
        <v>552447.788593364</v>
      </c>
      <c r="X7" s="35" t="n">
        <f aca="false">W7*(1+Assumptions!$B$14*Assumptions!$B$63)</f>
        <v>555210.027536331</v>
      </c>
      <c r="Y7" s="35" t="n">
        <f aca="false">X7*(1+Assumptions!$B$14*Assumptions!$B$63)</f>
        <v>557986.077674013</v>
      </c>
      <c r="Z7" s="35" t="n">
        <f aca="false">Y7*(1+Assumptions!$B$14*Assumptions!$B$63)</f>
        <v>560776.008062383</v>
      </c>
    </row>
    <row r="8" customFormat="false" ht="15" hidden="false" customHeight="false" outlineLevel="0" collapsed="false">
      <c r="A8" s="11" t="s">
        <v>513</v>
      </c>
      <c r="C8" s="35" t="n">
        <f aca="false">-C7*(1-Assumptions!$B$15)</f>
        <v>-325000</v>
      </c>
      <c r="D8" s="35" t="n">
        <f aca="false">-D7*(1-Assumptions!$B$15)</f>
        <v>-326625</v>
      </c>
      <c r="E8" s="35" t="n">
        <f aca="false">-E7*(1-Assumptions!$B$15)</f>
        <v>-328258.125</v>
      </c>
      <c r="F8" s="35" t="n">
        <f aca="false">-F7*(1-Assumptions!$B$15)</f>
        <v>-329899.415625</v>
      </c>
      <c r="G8" s="35" t="n">
        <f aca="false">-G7*(1-Assumptions!$B$15)</f>
        <v>-331548.912703125</v>
      </c>
      <c r="H8" s="35" t="n">
        <f aca="false">-H7*(1-Assumptions!$B$15)</f>
        <v>-333206.65726664</v>
      </c>
      <c r="I8" s="35" t="n">
        <f aca="false">-I7*(1-Assumptions!$B$15)</f>
        <v>-334872.690552974</v>
      </c>
      <c r="J8" s="35" t="n">
        <f aca="false">-J7*(1-Assumptions!$B$15)</f>
        <v>-336547.054005738</v>
      </c>
      <c r="K8" s="35" t="n">
        <f aca="false">-K7*(1-Assumptions!$B$15)</f>
        <v>-338229.789275767</v>
      </c>
      <c r="L8" s="35" t="n">
        <f aca="false">-L7*(1-Assumptions!$B$15)</f>
        <v>-339920.938222146</v>
      </c>
      <c r="M8" s="35" t="n">
        <f aca="false">-M7*(1-Assumptions!$B$15)</f>
        <v>-341620.542913257</v>
      </c>
      <c r="N8" s="35" t="n">
        <f aca="false">-N7*(1-Assumptions!$B$15)</f>
        <v>-343328.645627823</v>
      </c>
      <c r="O8" s="35" t="n">
        <f aca="false">-O7*(1-Assumptions!$B$15)</f>
        <v>-345045.288855962</v>
      </c>
      <c r="P8" s="35" t="n">
        <f aca="false">-P7*(1-Assumptions!$B$15)</f>
        <v>-346770.515300242</v>
      </c>
      <c r="Q8" s="35" t="n">
        <f aca="false">-Q7*(1-Assumptions!$B$15)</f>
        <v>-348504.367876743</v>
      </c>
      <c r="R8" s="35" t="n">
        <f aca="false">-R7*(1-Assumptions!$B$15)</f>
        <v>-350246.889716127</v>
      </c>
      <c r="S8" s="35" t="n">
        <f aca="false">-S7*(1-Assumptions!$B$15)</f>
        <v>-351998.124164707</v>
      </c>
      <c r="T8" s="35" t="n">
        <f aca="false">-T7*(1-Assumptions!$B$15)</f>
        <v>-353758.114785531</v>
      </c>
      <c r="U8" s="35" t="n">
        <f aca="false">-U7*(1-Assumptions!$B$15)</f>
        <v>-355526.905359458</v>
      </c>
      <c r="V8" s="35" t="n">
        <f aca="false">-V7*(1-Assumptions!$B$15)</f>
        <v>-357304.539886256</v>
      </c>
      <c r="W8" s="35" t="n">
        <f aca="false">-W7*(1-Assumptions!$B$15)</f>
        <v>-359091.062585687</v>
      </c>
      <c r="X8" s="35" t="n">
        <f aca="false">-X7*(1-Assumptions!$B$15)</f>
        <v>-360886.517898615</v>
      </c>
      <c r="Y8" s="35" t="n">
        <f aca="false">-Y7*(1-Assumptions!$B$15)</f>
        <v>-362690.950488108</v>
      </c>
      <c r="Z8" s="35" t="n">
        <f aca="false">-Z7*(1-Assumptions!$B$15)</f>
        <v>-364504.405240549</v>
      </c>
    </row>
    <row r="9" customFormat="false" ht="15" hidden="false" customHeight="false" outlineLevel="0" collapsed="false">
      <c r="A9" s="6" t="s">
        <v>514</v>
      </c>
      <c r="C9" s="37" t="n">
        <f aca="false">C7+C8</f>
        <v>175000</v>
      </c>
      <c r="D9" s="37" t="n">
        <f aca="false">D7+D8</f>
        <v>175875</v>
      </c>
      <c r="E9" s="37" t="n">
        <f aca="false">E7+E8</f>
        <v>176754.375</v>
      </c>
      <c r="F9" s="37" t="n">
        <f aca="false">F7+F8</f>
        <v>177638.146875</v>
      </c>
      <c r="G9" s="37" t="n">
        <f aca="false">G7+G8</f>
        <v>178526.337609375</v>
      </c>
      <c r="H9" s="37" t="n">
        <f aca="false">H7+H8</f>
        <v>179418.969297422</v>
      </c>
      <c r="I9" s="37" t="n">
        <f aca="false">I7+I8</f>
        <v>180316.064143909</v>
      </c>
      <c r="J9" s="37" t="n">
        <f aca="false">J7+J8</f>
        <v>181217.644464628</v>
      </c>
      <c r="K9" s="37" t="n">
        <f aca="false">K7+K8</f>
        <v>182123.732686952</v>
      </c>
      <c r="L9" s="37" t="n">
        <f aca="false">L7+L8</f>
        <v>183034.351350386</v>
      </c>
      <c r="M9" s="37" t="n">
        <f aca="false">M7+M8</f>
        <v>183949.523107138</v>
      </c>
      <c r="N9" s="37" t="n">
        <f aca="false">N7+N8</f>
        <v>184869.270722674</v>
      </c>
      <c r="O9" s="37" t="n">
        <f aca="false">O7+O8</f>
        <v>185793.617076287</v>
      </c>
      <c r="P9" s="37" t="n">
        <f aca="false">P7+P8</f>
        <v>186722.585161669</v>
      </c>
      <c r="Q9" s="37" t="n">
        <f aca="false">Q7+Q8</f>
        <v>187656.198087477</v>
      </c>
      <c r="R9" s="37" t="n">
        <f aca="false">R7+R8</f>
        <v>188594.479077914</v>
      </c>
      <c r="S9" s="37" t="n">
        <f aca="false">S7+S8</f>
        <v>189537.451473304</v>
      </c>
      <c r="T9" s="37" t="n">
        <f aca="false">T7+T8</f>
        <v>190485.13873067</v>
      </c>
      <c r="U9" s="37" t="n">
        <f aca="false">U7+U8</f>
        <v>191437.564424324</v>
      </c>
      <c r="V9" s="37" t="n">
        <f aca="false">V7+V8</f>
        <v>192394.752246445</v>
      </c>
      <c r="W9" s="37" t="n">
        <f aca="false">W7+W8</f>
        <v>193356.726007677</v>
      </c>
      <c r="X9" s="37" t="n">
        <f aca="false">X7+X8</f>
        <v>194323.509637716</v>
      </c>
      <c r="Y9" s="37" t="n">
        <f aca="false">Y7+Y8</f>
        <v>195295.127185904</v>
      </c>
      <c r="Z9" s="37" t="n">
        <f aca="false">Z7+Z8</f>
        <v>196271.602821834</v>
      </c>
    </row>
    <row r="10" customFormat="false" ht="15" hidden="false" customHeight="false" outlineLevel="0" collapsed="false">
      <c r="A10" s="11" t="s">
        <v>515</v>
      </c>
      <c r="C10" s="35" t="n">
        <f aca="false">-Assumptions!$B$16*Assumptions!$B$62</f>
        <v>-140000</v>
      </c>
      <c r="D10" s="35" t="n">
        <f aca="false">C10*(1+Assumptions!$B$17)</f>
        <v>-140280</v>
      </c>
      <c r="E10" s="35" t="n">
        <f aca="false">D10*(1+Assumptions!$B$17)</f>
        <v>-140560.56</v>
      </c>
      <c r="F10" s="35" t="n">
        <f aca="false">E10*(1+Assumptions!$B$17)</f>
        <v>-140841.68112</v>
      </c>
      <c r="G10" s="35" t="n">
        <f aca="false">F10*(1+Assumptions!$B$17)</f>
        <v>-141123.36448224</v>
      </c>
      <c r="H10" s="35" t="n">
        <f aca="false">G10*(1+Assumptions!$B$17)</f>
        <v>-141405.611211204</v>
      </c>
      <c r="I10" s="35" t="n">
        <f aca="false">H10*(1+Assumptions!$B$17)</f>
        <v>-141688.422433627</v>
      </c>
      <c r="J10" s="35" t="n">
        <f aca="false">I10*(1+Assumptions!$B$17)</f>
        <v>-141971.799278494</v>
      </c>
      <c r="K10" s="35" t="n">
        <f aca="false">J10*(1+Assumptions!$B$17)</f>
        <v>-142255.742877051</v>
      </c>
      <c r="L10" s="35" t="n">
        <f aca="false">K10*(1+Assumptions!$B$17)</f>
        <v>-142540.254362805</v>
      </c>
      <c r="M10" s="35" t="n">
        <f aca="false">L10*(1+Assumptions!$B$17)</f>
        <v>-142825.334871531</v>
      </c>
      <c r="N10" s="35" t="n">
        <f aca="false">M10*(1+Assumptions!$B$17)</f>
        <v>-143110.985541274</v>
      </c>
      <c r="O10" s="35" t="n">
        <f aca="false">N10*(1+Assumptions!$B$17)</f>
        <v>-143397.207512356</v>
      </c>
      <c r="P10" s="35" t="n">
        <f aca="false">O10*(1+Assumptions!$B$17)</f>
        <v>-143684.001927381</v>
      </c>
      <c r="Q10" s="35" t="n">
        <f aca="false">P10*(1+Assumptions!$B$17)</f>
        <v>-143971.369931236</v>
      </c>
      <c r="R10" s="35" t="n">
        <f aca="false">Q10*(1+Assumptions!$B$17)</f>
        <v>-144259.312671098</v>
      </c>
      <c r="S10" s="35" t="n">
        <f aca="false">R10*(1+Assumptions!$B$17)</f>
        <v>-144547.831296441</v>
      </c>
      <c r="T10" s="35" t="n">
        <f aca="false">S10*(1+Assumptions!$B$17)</f>
        <v>-144836.926959034</v>
      </c>
      <c r="U10" s="35" t="n">
        <f aca="false">T10*(1+Assumptions!$B$17)</f>
        <v>-145126.600812952</v>
      </c>
      <c r="V10" s="35" t="n">
        <f aca="false">U10*(1+Assumptions!$B$17)</f>
        <v>-145416.854014577</v>
      </c>
      <c r="W10" s="35" t="n">
        <f aca="false">V10*(1+Assumptions!$B$17)</f>
        <v>-145707.687722607</v>
      </c>
      <c r="X10" s="35" t="n">
        <f aca="false">W10*(1+Assumptions!$B$17)</f>
        <v>-145999.103098052</v>
      </c>
      <c r="Y10" s="35" t="n">
        <f aca="false">X10*(1+Assumptions!$B$17)</f>
        <v>-146291.101304248</v>
      </c>
      <c r="Z10" s="35" t="n">
        <f aca="false">Y10*(1+Assumptions!$B$17)</f>
        <v>-146583.683506856</v>
      </c>
    </row>
    <row r="11" customFormat="false" ht="15" hidden="false" customHeight="false" outlineLevel="0" collapsed="false">
      <c r="A11" s="6" t="s">
        <v>516</v>
      </c>
      <c r="C11" s="37" t="n">
        <f aca="false">C9+C10</f>
        <v>35000</v>
      </c>
      <c r="D11" s="37" t="n">
        <f aca="false">D9+D10</f>
        <v>35594.9999999999</v>
      </c>
      <c r="E11" s="37" t="n">
        <f aca="false">E9+E10</f>
        <v>36193.8149999999</v>
      </c>
      <c r="F11" s="37" t="n">
        <f aca="false">F9+F10</f>
        <v>36796.4657549999</v>
      </c>
      <c r="G11" s="37" t="n">
        <f aca="false">G9+G10</f>
        <v>37402.9731271349</v>
      </c>
      <c r="H11" s="37" t="n">
        <f aca="false">H9+H10</f>
        <v>38013.3580862173</v>
      </c>
      <c r="I11" s="37" t="n">
        <f aca="false">I9+I10</f>
        <v>38627.641710282</v>
      </c>
      <c r="J11" s="37" t="n">
        <f aca="false">J9+J10</f>
        <v>39245.8451861343</v>
      </c>
      <c r="K11" s="37" t="n">
        <f aca="false">K9+K10</f>
        <v>39867.9898099004</v>
      </c>
      <c r="L11" s="37" t="n">
        <f aca="false">L9+L10</f>
        <v>40494.0969875811</v>
      </c>
      <c r="M11" s="37" t="n">
        <f aca="false">M9+M10</f>
        <v>41124.1882356074</v>
      </c>
      <c r="N11" s="37" t="n">
        <f aca="false">N9+N10</f>
        <v>41758.2851814</v>
      </c>
      <c r="O11" s="37" t="n">
        <f aca="false">O9+O10</f>
        <v>42396.4095639307</v>
      </c>
      <c r="P11" s="37" t="n">
        <f aca="false">P9+P10</f>
        <v>43038.5832342874</v>
      </c>
      <c r="Q11" s="37" t="n">
        <f aca="false">Q9+Q10</f>
        <v>43684.828156241</v>
      </c>
      <c r="R11" s="37" t="n">
        <f aca="false">R9+R10</f>
        <v>44335.1664068158</v>
      </c>
      <c r="S11" s="37" t="n">
        <f aca="false">S9+S10</f>
        <v>44989.6201768632</v>
      </c>
      <c r="T11" s="37" t="n">
        <f aca="false">T9+T10</f>
        <v>45648.2117716368</v>
      </c>
      <c r="U11" s="37" t="n">
        <f aca="false">U9+U10</f>
        <v>46310.9636113721</v>
      </c>
      <c r="V11" s="37" t="n">
        <f aca="false">V9+V10</f>
        <v>46977.8982318678</v>
      </c>
      <c r="W11" s="37" t="n">
        <f aca="false">W9+W10</f>
        <v>47649.0382850708</v>
      </c>
      <c r="X11" s="37" t="n">
        <f aca="false">X9+X10</f>
        <v>48324.406539664</v>
      </c>
      <c r="Y11" s="37" t="n">
        <f aca="false">Y9+Y10</f>
        <v>49004.0258816565</v>
      </c>
      <c r="Z11" s="37" t="n">
        <f aca="false">Z9+Z10</f>
        <v>49687.9193149775</v>
      </c>
    </row>
    <row r="13" customFormat="false" ht="15" hidden="false" customHeight="false" outlineLevel="0" collapsed="false">
      <c r="A13" s="4" t="s">
        <v>517</v>
      </c>
      <c r="B13" s="5"/>
      <c r="C13" s="5"/>
      <c r="D13" s="5"/>
      <c r="E13" s="5"/>
      <c r="F13" s="5"/>
      <c r="G13" s="5"/>
      <c r="H13" s="5"/>
      <c r="I13" s="5"/>
      <c r="J13" s="5"/>
      <c r="K13" s="5"/>
      <c r="L13" s="5"/>
      <c r="M13" s="5"/>
      <c r="N13" s="5"/>
      <c r="O13" s="5"/>
      <c r="P13" s="5"/>
      <c r="Q13" s="5"/>
      <c r="R13" s="5"/>
      <c r="S13" s="5"/>
      <c r="T13" s="5"/>
      <c r="U13" s="5"/>
      <c r="V13" s="5"/>
      <c r="W13" s="5"/>
      <c r="X13" s="5"/>
      <c r="Y13" s="5"/>
      <c r="Z13" s="5"/>
    </row>
    <row r="14" customFormat="false" ht="15" hidden="false" customHeight="false" outlineLevel="0" collapsed="false">
      <c r="A14" s="11" t="s">
        <v>518</v>
      </c>
      <c r="C14" s="38" t="n">
        <f aca="false">-'Initiative Cash Flows'!C31</f>
        <v>-0</v>
      </c>
      <c r="D14" s="38" t="n">
        <f aca="false">-'Initiative Cash Flows'!D31</f>
        <v>-32542.4375</v>
      </c>
      <c r="E14" s="38" t="n">
        <f aca="false">-'Initiative Cash Flows'!E31</f>
        <v>-10042.4375</v>
      </c>
      <c r="F14" s="38" t="n">
        <f aca="false">-'Initiative Cash Flows'!F31</f>
        <v>-10042.4375</v>
      </c>
      <c r="G14" s="38" t="n">
        <f aca="false">-'Initiative Cash Flows'!G31</f>
        <v>-10042.4375</v>
      </c>
      <c r="H14" s="38" t="n">
        <f aca="false">-'Initiative Cash Flows'!H31</f>
        <v>-10042.4375</v>
      </c>
      <c r="I14" s="38" t="n">
        <f aca="false">-'Initiative Cash Flows'!I31</f>
        <v>-10042.4375</v>
      </c>
      <c r="J14" s="38" t="n">
        <f aca="false">-'Initiative Cash Flows'!J31</f>
        <v>-10042.4375</v>
      </c>
      <c r="K14" s="38" t="n">
        <f aca="false">-'Initiative Cash Flows'!K31</f>
        <v>-10042.4375</v>
      </c>
      <c r="L14" s="38" t="n">
        <f aca="false">-'Initiative Cash Flows'!L31</f>
        <v>-10042.4375</v>
      </c>
      <c r="M14" s="38" t="n">
        <f aca="false">-'Initiative Cash Flows'!M31</f>
        <v>-10042.4375</v>
      </c>
      <c r="N14" s="38" t="n">
        <f aca="false">-'Initiative Cash Flows'!N31</f>
        <v>-10042.4375</v>
      </c>
      <c r="O14" s="38" t="n">
        <f aca="false">-'Initiative Cash Flows'!O31</f>
        <v>-10042.4375</v>
      </c>
      <c r="P14" s="38" t="n">
        <f aca="false">-'Initiative Cash Flows'!P31</f>
        <v>-10042.4375</v>
      </c>
      <c r="Q14" s="38" t="n">
        <f aca="false">-'Initiative Cash Flows'!Q31</f>
        <v>-10042.4375</v>
      </c>
      <c r="R14" s="38" t="n">
        <f aca="false">-'Initiative Cash Flows'!R31</f>
        <v>-10042.4375</v>
      </c>
      <c r="S14" s="38" t="n">
        <f aca="false">-'Initiative Cash Flows'!S31</f>
        <v>-10042.4375</v>
      </c>
      <c r="T14" s="38" t="n">
        <f aca="false">-'Initiative Cash Flows'!T31</f>
        <v>-10042.4375</v>
      </c>
      <c r="U14" s="38" t="n">
        <f aca="false">-'Initiative Cash Flows'!U31</f>
        <v>-10042.4375</v>
      </c>
      <c r="V14" s="38" t="n">
        <f aca="false">-'Initiative Cash Flows'!V31</f>
        <v>-10042.4375</v>
      </c>
      <c r="W14" s="38" t="n">
        <f aca="false">-'Initiative Cash Flows'!W31</f>
        <v>-10042.4375</v>
      </c>
      <c r="X14" s="38" t="n">
        <f aca="false">-'Initiative Cash Flows'!X31</f>
        <v>-10042.4375</v>
      </c>
      <c r="Y14" s="38" t="n">
        <f aca="false">-'Initiative Cash Flows'!Y31</f>
        <v>-10042.4375</v>
      </c>
      <c r="Z14" s="38" t="n">
        <f aca="false">-'Initiative Cash Flows'!Z31</f>
        <v>-10042.4375</v>
      </c>
    </row>
    <row r="15" customFormat="false" ht="15" hidden="false" customHeight="false" outlineLevel="0" collapsed="false">
      <c r="A15" s="11" t="s">
        <v>519</v>
      </c>
      <c r="C15" s="38" t="n">
        <f aca="false">'Initiative Cash Flows'!C32</f>
        <v>0</v>
      </c>
      <c r="D15" s="38" t="n">
        <f aca="false">'Initiative Cash Flows'!D32</f>
        <v>2630.55555555556</v>
      </c>
      <c r="E15" s="38" t="n">
        <f aca="false">'Initiative Cash Flows'!E32</f>
        <v>5261.11111111111</v>
      </c>
      <c r="F15" s="38" t="n">
        <f aca="false">'Initiative Cash Flows'!F32</f>
        <v>7891.66666666667</v>
      </c>
      <c r="G15" s="38" t="n">
        <f aca="false">'Initiative Cash Flows'!G32</f>
        <v>10522.2222222222</v>
      </c>
      <c r="H15" s="38" t="n">
        <f aca="false">'Initiative Cash Flows'!H32</f>
        <v>13152.7777777778</v>
      </c>
      <c r="I15" s="38" t="n">
        <f aca="false">'Initiative Cash Flows'!I32</f>
        <v>15783.3333333333</v>
      </c>
      <c r="J15" s="38" t="n">
        <f aca="false">'Initiative Cash Flows'!J32</f>
        <v>15783.3333333333</v>
      </c>
      <c r="K15" s="38" t="n">
        <f aca="false">'Initiative Cash Flows'!K32</f>
        <v>15783.3333333333</v>
      </c>
      <c r="L15" s="38" t="n">
        <f aca="false">'Initiative Cash Flows'!L32</f>
        <v>15783.3333333333</v>
      </c>
      <c r="M15" s="38" t="n">
        <f aca="false">'Initiative Cash Flows'!M32</f>
        <v>15783.3333333333</v>
      </c>
      <c r="N15" s="38" t="n">
        <f aca="false">'Initiative Cash Flows'!N32</f>
        <v>15783.3333333333</v>
      </c>
      <c r="O15" s="38" t="n">
        <f aca="false">'Initiative Cash Flows'!O32</f>
        <v>15783.3333333333</v>
      </c>
      <c r="P15" s="38" t="n">
        <f aca="false">'Initiative Cash Flows'!P32</f>
        <v>15783.3333333333</v>
      </c>
      <c r="Q15" s="38" t="n">
        <f aca="false">'Initiative Cash Flows'!Q32</f>
        <v>15783.3333333333</v>
      </c>
      <c r="R15" s="38" t="n">
        <f aca="false">'Initiative Cash Flows'!R32</f>
        <v>15783.3333333333</v>
      </c>
      <c r="S15" s="38" t="n">
        <f aca="false">'Initiative Cash Flows'!S32</f>
        <v>15783.3333333333</v>
      </c>
      <c r="T15" s="38" t="n">
        <f aca="false">'Initiative Cash Flows'!T32</f>
        <v>15783.3333333333</v>
      </c>
      <c r="U15" s="38" t="n">
        <f aca="false">'Initiative Cash Flows'!U32</f>
        <v>15783.3333333333</v>
      </c>
      <c r="V15" s="38" t="n">
        <f aca="false">'Initiative Cash Flows'!V32</f>
        <v>15783.3333333333</v>
      </c>
      <c r="W15" s="38" t="n">
        <f aca="false">'Initiative Cash Flows'!W32</f>
        <v>15783.3333333333</v>
      </c>
      <c r="X15" s="38" t="n">
        <f aca="false">'Initiative Cash Flows'!X32</f>
        <v>15783.3333333333</v>
      </c>
      <c r="Y15" s="38" t="n">
        <f aca="false">'Initiative Cash Flows'!Y32</f>
        <v>15783.3333333333</v>
      </c>
      <c r="Z15" s="38" t="n">
        <f aca="false">'Initiative Cash Flows'!Z32</f>
        <v>15783.3333333333</v>
      </c>
    </row>
    <row r="16" customFormat="false" ht="15" hidden="false" customHeight="false" outlineLevel="0" collapsed="false">
      <c r="A16" s="11" t="s">
        <v>520</v>
      </c>
      <c r="C16" s="38" t="n">
        <f aca="false">-'Initiative Cash Flows'!C77</f>
        <v>-0</v>
      </c>
      <c r="D16" s="38" t="n">
        <f aca="false">-'Initiative Cash Flows'!D77</f>
        <v>-0</v>
      </c>
      <c r="E16" s="38" t="n">
        <f aca="false">-'Initiative Cash Flows'!E77</f>
        <v>-1450</v>
      </c>
      <c r="F16" s="38" t="n">
        <f aca="false">-'Initiative Cash Flows'!F77</f>
        <v>-1450</v>
      </c>
      <c r="G16" s="38" t="n">
        <f aca="false">-'Initiative Cash Flows'!G77</f>
        <v>-1450</v>
      </c>
      <c r="H16" s="38" t="n">
        <f aca="false">-'Initiative Cash Flows'!H77</f>
        <v>-1450</v>
      </c>
      <c r="I16" s="38" t="n">
        <f aca="false">-'Initiative Cash Flows'!I77</f>
        <v>-1450</v>
      </c>
      <c r="J16" s="38" t="n">
        <f aca="false">-'Initiative Cash Flows'!J77</f>
        <v>-1450</v>
      </c>
      <c r="K16" s="38" t="n">
        <f aca="false">-'Initiative Cash Flows'!K77</f>
        <v>-1450</v>
      </c>
      <c r="L16" s="38" t="n">
        <f aca="false">-'Initiative Cash Flows'!L77</f>
        <v>-1450</v>
      </c>
      <c r="M16" s="38" t="n">
        <f aca="false">-'Initiative Cash Flows'!M77</f>
        <v>-1450</v>
      </c>
      <c r="N16" s="38" t="n">
        <f aca="false">-'Initiative Cash Flows'!N77</f>
        <v>-1450</v>
      </c>
      <c r="O16" s="38" t="n">
        <f aca="false">-'Initiative Cash Flows'!O77</f>
        <v>-1450</v>
      </c>
      <c r="P16" s="38" t="n">
        <f aca="false">-'Initiative Cash Flows'!P77</f>
        <v>-1450</v>
      </c>
      <c r="Q16" s="38" t="n">
        <f aca="false">-'Initiative Cash Flows'!Q77</f>
        <v>-1450</v>
      </c>
      <c r="R16" s="38" t="n">
        <f aca="false">-'Initiative Cash Flows'!R77</f>
        <v>-1450</v>
      </c>
      <c r="S16" s="38" t="n">
        <f aca="false">-'Initiative Cash Flows'!S77</f>
        <v>-1450</v>
      </c>
      <c r="T16" s="38" t="n">
        <f aca="false">-'Initiative Cash Flows'!T77</f>
        <v>-1450</v>
      </c>
      <c r="U16" s="38" t="n">
        <f aca="false">-'Initiative Cash Flows'!U77</f>
        <v>-1450</v>
      </c>
      <c r="V16" s="38" t="n">
        <f aca="false">-'Initiative Cash Flows'!V77</f>
        <v>-1450</v>
      </c>
      <c r="W16" s="38" t="n">
        <f aca="false">-'Initiative Cash Flows'!W77</f>
        <v>-1450</v>
      </c>
      <c r="X16" s="38" t="n">
        <f aca="false">-'Initiative Cash Flows'!X77</f>
        <v>-1450</v>
      </c>
      <c r="Y16" s="38" t="n">
        <f aca="false">-'Initiative Cash Flows'!Y77</f>
        <v>-1450</v>
      </c>
      <c r="Z16" s="38" t="n">
        <f aca="false">-'Initiative Cash Flows'!Z77</f>
        <v>-1450</v>
      </c>
    </row>
    <row r="17" customFormat="false" ht="15" hidden="false" customHeight="false" outlineLevel="0" collapsed="false">
      <c r="A17" s="11" t="s">
        <v>521</v>
      </c>
      <c r="C17" s="38" t="n">
        <f aca="false">'Initiative Cash Flows'!C78</f>
        <v>0</v>
      </c>
      <c r="D17" s="38" t="n">
        <f aca="false">'Initiative Cash Flows'!D78</f>
        <v>0</v>
      </c>
      <c r="E17" s="38" t="n">
        <f aca="false">'Initiative Cash Flows'!E78</f>
        <v>3250</v>
      </c>
      <c r="F17" s="38" t="n">
        <f aca="false">'Initiative Cash Flows'!F78</f>
        <v>6500</v>
      </c>
      <c r="G17" s="38" t="n">
        <f aca="false">'Initiative Cash Flows'!G78</f>
        <v>9750</v>
      </c>
      <c r="H17" s="38" t="n">
        <f aca="false">'Initiative Cash Flows'!H78</f>
        <v>13000</v>
      </c>
      <c r="I17" s="38" t="n">
        <f aca="false">'Initiative Cash Flows'!I78</f>
        <v>13000</v>
      </c>
      <c r="J17" s="38" t="n">
        <f aca="false">'Initiative Cash Flows'!J78</f>
        <v>13000</v>
      </c>
      <c r="K17" s="38" t="n">
        <f aca="false">'Initiative Cash Flows'!K78</f>
        <v>13000</v>
      </c>
      <c r="L17" s="38" t="n">
        <f aca="false">'Initiative Cash Flows'!L78</f>
        <v>13000</v>
      </c>
      <c r="M17" s="38" t="n">
        <f aca="false">'Initiative Cash Flows'!M78</f>
        <v>13000</v>
      </c>
      <c r="N17" s="38" t="n">
        <f aca="false">'Initiative Cash Flows'!N78</f>
        <v>13000</v>
      </c>
      <c r="O17" s="38" t="n">
        <f aca="false">'Initiative Cash Flows'!O78</f>
        <v>13000</v>
      </c>
      <c r="P17" s="38" t="n">
        <f aca="false">'Initiative Cash Flows'!P78</f>
        <v>13000</v>
      </c>
      <c r="Q17" s="38" t="n">
        <f aca="false">'Initiative Cash Flows'!Q78</f>
        <v>13000</v>
      </c>
      <c r="R17" s="38" t="n">
        <f aca="false">'Initiative Cash Flows'!R78</f>
        <v>13000</v>
      </c>
      <c r="S17" s="38" t="n">
        <f aca="false">'Initiative Cash Flows'!S78</f>
        <v>13000</v>
      </c>
      <c r="T17" s="38" t="n">
        <f aca="false">'Initiative Cash Flows'!T78</f>
        <v>13000</v>
      </c>
      <c r="U17" s="38" t="n">
        <f aca="false">'Initiative Cash Flows'!U78</f>
        <v>13000</v>
      </c>
      <c r="V17" s="38" t="n">
        <f aca="false">'Initiative Cash Flows'!V78</f>
        <v>13000</v>
      </c>
      <c r="W17" s="38" t="n">
        <f aca="false">'Initiative Cash Flows'!W78</f>
        <v>13000</v>
      </c>
      <c r="X17" s="38" t="n">
        <f aca="false">'Initiative Cash Flows'!X78</f>
        <v>13000</v>
      </c>
      <c r="Y17" s="38" t="n">
        <f aca="false">'Initiative Cash Flows'!Y78</f>
        <v>13000</v>
      </c>
      <c r="Z17" s="38" t="n">
        <f aca="false">'Initiative Cash Flows'!Z78</f>
        <v>13000</v>
      </c>
    </row>
    <row r="18" customFormat="false" ht="15" hidden="false" customHeight="false" outlineLevel="0" collapsed="false">
      <c r="A18" s="11" t="s">
        <v>522</v>
      </c>
      <c r="C18" s="38" t="n">
        <f aca="false">-'Initiative Cash Flows'!C99</f>
        <v>-0</v>
      </c>
      <c r="D18" s="38" t="n">
        <f aca="false">-'Initiative Cash Flows'!D99</f>
        <v>-0</v>
      </c>
      <c r="E18" s="38" t="n">
        <f aca="false">-'Initiative Cash Flows'!E99</f>
        <v>-0</v>
      </c>
      <c r="F18" s="38" t="n">
        <f aca="false">-'Initiative Cash Flows'!F99</f>
        <v>-0</v>
      </c>
      <c r="G18" s="38" t="n">
        <f aca="false">-'Initiative Cash Flows'!G99</f>
        <v>-0</v>
      </c>
      <c r="H18" s="38" t="n">
        <f aca="false">-'Initiative Cash Flows'!H99</f>
        <v>-0</v>
      </c>
      <c r="I18" s="38" t="n">
        <f aca="false">-'Initiative Cash Flows'!I99</f>
        <v>-0</v>
      </c>
      <c r="J18" s="38" t="n">
        <f aca="false">-'Initiative Cash Flows'!J99</f>
        <v>-0</v>
      </c>
      <c r="K18" s="38" t="n">
        <f aca="false">-'Initiative Cash Flows'!K99</f>
        <v>-0</v>
      </c>
      <c r="L18" s="38" t="n">
        <f aca="false">-'Initiative Cash Flows'!L99</f>
        <v>-0</v>
      </c>
      <c r="M18" s="38" t="n">
        <f aca="false">-'Initiative Cash Flows'!M99</f>
        <v>-0</v>
      </c>
      <c r="N18" s="38" t="n">
        <f aca="false">-'Initiative Cash Flows'!N99</f>
        <v>-0</v>
      </c>
      <c r="O18" s="38" t="n">
        <f aca="false">-'Initiative Cash Flows'!O99</f>
        <v>-0</v>
      </c>
      <c r="P18" s="38" t="n">
        <f aca="false">-'Initiative Cash Flows'!P99</f>
        <v>-0</v>
      </c>
      <c r="Q18" s="38" t="n">
        <f aca="false">-'Initiative Cash Flows'!Q99</f>
        <v>-0</v>
      </c>
      <c r="R18" s="38" t="n">
        <f aca="false">-'Initiative Cash Flows'!R99</f>
        <v>-0</v>
      </c>
      <c r="S18" s="38" t="n">
        <f aca="false">-'Initiative Cash Flows'!S99</f>
        <v>-0</v>
      </c>
      <c r="T18" s="38" t="n">
        <f aca="false">-'Initiative Cash Flows'!T99</f>
        <v>-0</v>
      </c>
      <c r="U18" s="38" t="n">
        <f aca="false">-'Initiative Cash Flows'!U99</f>
        <v>-0</v>
      </c>
      <c r="V18" s="38" t="n">
        <f aca="false">-'Initiative Cash Flows'!V99</f>
        <v>-0</v>
      </c>
      <c r="W18" s="38" t="n">
        <f aca="false">-'Initiative Cash Flows'!W99</f>
        <v>-0</v>
      </c>
      <c r="X18" s="38" t="n">
        <f aca="false">-'Initiative Cash Flows'!X99</f>
        <v>-0</v>
      </c>
      <c r="Y18" s="38" t="n">
        <f aca="false">-'Initiative Cash Flows'!Y99</f>
        <v>-0</v>
      </c>
      <c r="Z18" s="38" t="n">
        <f aca="false">-'Initiative Cash Flows'!Z99</f>
        <v>-0</v>
      </c>
    </row>
    <row r="19" customFormat="false" ht="15" hidden="false" customHeight="false" outlineLevel="0" collapsed="false">
      <c r="A19" s="11" t="s">
        <v>523</v>
      </c>
      <c r="C19" s="38" t="n">
        <f aca="false">'Initiative Cash Flows'!C100</f>
        <v>0</v>
      </c>
      <c r="D19" s="38" t="n">
        <f aca="false">'Initiative Cash Flows'!D100</f>
        <v>0</v>
      </c>
      <c r="E19" s="38" t="n">
        <f aca="false">'Initiative Cash Flows'!E100</f>
        <v>0</v>
      </c>
      <c r="F19" s="38" t="n">
        <f aca="false">'Initiative Cash Flows'!F100</f>
        <v>0</v>
      </c>
      <c r="G19" s="38" t="n">
        <f aca="false">'Initiative Cash Flows'!G100</f>
        <v>0</v>
      </c>
      <c r="H19" s="38" t="n">
        <f aca="false">'Initiative Cash Flows'!H100</f>
        <v>0</v>
      </c>
      <c r="I19" s="38" t="n">
        <f aca="false">'Initiative Cash Flows'!I100</f>
        <v>0</v>
      </c>
      <c r="J19" s="38" t="n">
        <f aca="false">'Initiative Cash Flows'!J100</f>
        <v>0</v>
      </c>
      <c r="K19" s="38" t="n">
        <f aca="false">'Initiative Cash Flows'!K100</f>
        <v>0</v>
      </c>
      <c r="L19" s="38" t="n">
        <f aca="false">'Initiative Cash Flows'!L100</f>
        <v>0</v>
      </c>
      <c r="M19" s="38" t="n">
        <f aca="false">'Initiative Cash Flows'!M100</f>
        <v>0</v>
      </c>
      <c r="N19" s="38" t="n">
        <f aca="false">'Initiative Cash Flows'!N100</f>
        <v>0</v>
      </c>
      <c r="O19" s="38" t="n">
        <f aca="false">'Initiative Cash Flows'!O100</f>
        <v>0</v>
      </c>
      <c r="P19" s="38" t="n">
        <f aca="false">'Initiative Cash Flows'!P100</f>
        <v>0</v>
      </c>
      <c r="Q19" s="38" t="n">
        <f aca="false">'Initiative Cash Flows'!Q100</f>
        <v>0</v>
      </c>
      <c r="R19" s="38" t="n">
        <f aca="false">'Initiative Cash Flows'!R100</f>
        <v>0</v>
      </c>
      <c r="S19" s="38" t="n">
        <f aca="false">'Initiative Cash Flows'!S100</f>
        <v>0</v>
      </c>
      <c r="T19" s="38" t="n">
        <f aca="false">'Initiative Cash Flows'!T100</f>
        <v>0</v>
      </c>
      <c r="U19" s="38" t="n">
        <f aca="false">'Initiative Cash Flows'!U100</f>
        <v>0</v>
      </c>
      <c r="V19" s="38" t="n">
        <f aca="false">'Initiative Cash Flows'!V100</f>
        <v>0</v>
      </c>
      <c r="W19" s="38" t="n">
        <f aca="false">'Initiative Cash Flows'!W100</f>
        <v>0</v>
      </c>
      <c r="X19" s="38" t="n">
        <f aca="false">'Initiative Cash Flows'!X100</f>
        <v>0</v>
      </c>
      <c r="Y19" s="38" t="n">
        <f aca="false">'Initiative Cash Flows'!Y100</f>
        <v>0</v>
      </c>
      <c r="Z19" s="38" t="n">
        <f aca="false">'Initiative Cash Flows'!Z100</f>
        <v>0</v>
      </c>
    </row>
    <row r="20" customFormat="false" ht="15" hidden="false" customHeight="false" outlineLevel="0" collapsed="false">
      <c r="A20" s="6" t="s">
        <v>524</v>
      </c>
      <c r="C20" s="37" t="n">
        <f aca="false">SUM(C14:C19)</f>
        <v>0</v>
      </c>
      <c r="D20" s="37" t="n">
        <f aca="false">SUM(D14:D19)</f>
        <v>-29911.8819444444</v>
      </c>
      <c r="E20" s="37" t="n">
        <f aca="false">SUM(E14:E19)</f>
        <v>-2981.32638888889</v>
      </c>
      <c r="F20" s="37" t="n">
        <f aca="false">SUM(F14:F19)</f>
        <v>2899.22916666667</v>
      </c>
      <c r="G20" s="37" t="n">
        <f aca="false">SUM(G14:G19)</f>
        <v>8779.78472222222</v>
      </c>
      <c r="H20" s="37" t="n">
        <f aca="false">SUM(H14:H19)</f>
        <v>14660.3402777778</v>
      </c>
      <c r="I20" s="37" t="n">
        <f aca="false">SUM(I14:I19)</f>
        <v>17290.8958333333</v>
      </c>
      <c r="J20" s="37" t="n">
        <f aca="false">SUM(J14:J19)</f>
        <v>17290.8958333333</v>
      </c>
      <c r="K20" s="37" t="n">
        <f aca="false">SUM(K14:K19)</f>
        <v>17290.8958333333</v>
      </c>
      <c r="L20" s="37" t="n">
        <f aca="false">SUM(L14:L19)</f>
        <v>17290.8958333333</v>
      </c>
      <c r="M20" s="37" t="n">
        <f aca="false">SUM(M14:M19)</f>
        <v>17290.8958333333</v>
      </c>
      <c r="N20" s="37" t="n">
        <f aca="false">SUM(N14:N19)</f>
        <v>17290.8958333333</v>
      </c>
      <c r="O20" s="37" t="n">
        <f aca="false">SUM(O14:O19)</f>
        <v>17290.8958333333</v>
      </c>
      <c r="P20" s="37" t="n">
        <f aca="false">SUM(P14:P19)</f>
        <v>17290.8958333333</v>
      </c>
      <c r="Q20" s="37" t="n">
        <f aca="false">SUM(Q14:Q19)</f>
        <v>17290.8958333333</v>
      </c>
      <c r="R20" s="37" t="n">
        <f aca="false">SUM(R14:R19)</f>
        <v>17290.8958333333</v>
      </c>
      <c r="S20" s="37" t="n">
        <f aca="false">SUM(S14:S19)</f>
        <v>17290.8958333333</v>
      </c>
      <c r="T20" s="37" t="n">
        <f aca="false">SUM(T14:T19)</f>
        <v>17290.8958333333</v>
      </c>
      <c r="U20" s="37" t="n">
        <f aca="false">SUM(U14:U19)</f>
        <v>17290.8958333333</v>
      </c>
      <c r="V20" s="37" t="n">
        <f aca="false">SUM(V14:V19)</f>
        <v>17290.8958333333</v>
      </c>
      <c r="W20" s="37" t="n">
        <f aca="false">SUM(W14:W19)</f>
        <v>17290.8958333333</v>
      </c>
      <c r="X20" s="37" t="n">
        <f aca="false">SUM(X14:X19)</f>
        <v>17290.8958333333</v>
      </c>
      <c r="Y20" s="37" t="n">
        <f aca="false">SUM(Y14:Y19)</f>
        <v>17290.8958333333</v>
      </c>
      <c r="Z20" s="37" t="n">
        <f aca="false">SUM(Z14:Z19)</f>
        <v>17290.8958333333</v>
      </c>
    </row>
    <row r="21" customFormat="false" ht="15" hidden="false" customHeight="false" outlineLevel="0" collapsed="false">
      <c r="A21" s="6" t="s">
        <v>525</v>
      </c>
      <c r="C21" s="37" t="n">
        <f aca="false">C11+C20</f>
        <v>35000</v>
      </c>
      <c r="D21" s="37" t="n">
        <f aca="false">D11+D20</f>
        <v>5683.1180555555</v>
      </c>
      <c r="E21" s="37" t="n">
        <f aca="false">E11+E20</f>
        <v>33212.4886111111</v>
      </c>
      <c r="F21" s="37" t="n">
        <f aca="false">F11+F20</f>
        <v>39695.6949216666</v>
      </c>
      <c r="G21" s="37" t="n">
        <f aca="false">G11+G20</f>
        <v>46182.7578493571</v>
      </c>
      <c r="H21" s="37" t="n">
        <f aca="false">H11+H20</f>
        <v>52673.6983639951</v>
      </c>
      <c r="I21" s="37" t="n">
        <f aca="false">I11+I20</f>
        <v>55918.5375436153</v>
      </c>
      <c r="J21" s="37" t="n">
        <f aca="false">J11+J20</f>
        <v>56536.7410194676</v>
      </c>
      <c r="K21" s="37" t="n">
        <f aca="false">K11+K20</f>
        <v>57158.8856432337</v>
      </c>
      <c r="L21" s="37" t="n">
        <f aca="false">L11+L20</f>
        <v>57784.9928209144</v>
      </c>
      <c r="M21" s="37" t="n">
        <f aca="false">M11+M20</f>
        <v>58415.0840689407</v>
      </c>
      <c r="N21" s="37" t="n">
        <f aca="false">N11+N20</f>
        <v>59049.1810147333</v>
      </c>
      <c r="O21" s="37" t="n">
        <f aca="false">O11+O20</f>
        <v>59687.305397264</v>
      </c>
      <c r="P21" s="37" t="n">
        <f aca="false">P11+P20</f>
        <v>60329.4790676208</v>
      </c>
      <c r="Q21" s="37" t="n">
        <f aca="false">Q11+Q20</f>
        <v>60975.7239895744</v>
      </c>
      <c r="R21" s="37" t="n">
        <f aca="false">R11+R20</f>
        <v>61626.0622401492</v>
      </c>
      <c r="S21" s="37" t="n">
        <f aca="false">S11+S20</f>
        <v>62280.5160101966</v>
      </c>
      <c r="T21" s="37" t="n">
        <f aca="false">T11+T20</f>
        <v>62939.1076049702</v>
      </c>
      <c r="U21" s="37" t="n">
        <f aca="false">U11+U20</f>
        <v>63601.8594447054</v>
      </c>
      <c r="V21" s="37" t="n">
        <f aca="false">V11+V20</f>
        <v>64268.7940652012</v>
      </c>
      <c r="W21" s="37" t="n">
        <f aca="false">W11+W20</f>
        <v>64939.9341184042</v>
      </c>
      <c r="X21" s="37" t="n">
        <f aca="false">X11+X20</f>
        <v>65615.3023729973</v>
      </c>
      <c r="Y21" s="37" t="n">
        <f aca="false">Y11+Y20</f>
        <v>66294.9217149899</v>
      </c>
      <c r="Z21" s="37" t="n">
        <f aca="false">Z11+Z20</f>
        <v>66978.8151483108</v>
      </c>
    </row>
    <row r="22" customFormat="false" ht="15" hidden="false" customHeight="false" outlineLevel="0" collapsed="false">
      <c r="A22" s="11" t="s">
        <v>526</v>
      </c>
      <c r="C22" s="39" t="n">
        <f aca="false">IFERROR(C21/C7,0)</f>
        <v>0.07</v>
      </c>
      <c r="D22" s="39" t="n">
        <f aca="false">IFERROR(D21/D7,0)</f>
        <v>0.0113096876727473</v>
      </c>
      <c r="E22" s="39" t="n">
        <f aca="false">IFERROR(E21/E7,0)</f>
        <v>0.0657656763171428</v>
      </c>
      <c r="F22" s="39" t="n">
        <f aca="false">IFERROR(F21/F7,0)</f>
        <v>0.0782123292040411</v>
      </c>
      <c r="G22" s="39" t="n">
        <f aca="false">IFERROR(G21/G7,0)</f>
        <v>0.0905410678543275</v>
      </c>
      <c r="H22" s="39" t="n">
        <f aca="false">IFERROR(H21/H7,0)</f>
        <v>0.102752760756514</v>
      </c>
      <c r="I22" s="39" t="n">
        <f aca="false">IFERROR(I21/I7,0)</f>
        <v>0.108539903159407</v>
      </c>
      <c r="J22" s="39" t="n">
        <f aca="false">IFERROR(J21/J7,0)</f>
        <v>0.109193889012701</v>
      </c>
      <c r="K22" s="39" t="n">
        <f aca="false">IFERROR(K21/K7,0)</f>
        <v>0.109846254960736</v>
      </c>
      <c r="L22" s="39" t="n">
        <f aca="false">IFERROR(L21/L7,0)</f>
        <v>0.110497004185861</v>
      </c>
      <c r="M22" s="39" t="n">
        <f aca="false">IFERROR(M21/M7,0)</f>
        <v>0.111146139869149</v>
      </c>
      <c r="N22" s="39" t="n">
        <f aca="false">IFERROR(N21/N7,0)</f>
        <v>0.11179366519036</v>
      </c>
      <c r="O22" s="39" t="n">
        <f aca="false">IFERROR(O21/O7,0)</f>
        <v>0.112439583327907</v>
      </c>
      <c r="P22" s="39" t="n">
        <f aca="false">IFERROR(P21/P7,0)</f>
        <v>0.113083897458816</v>
      </c>
      <c r="Q22" s="39" t="n">
        <f aca="false">IFERROR(Q21/Q7,0)</f>
        <v>0.113726610758695</v>
      </c>
      <c r="R22" s="39" t="n">
        <f aca="false">IFERROR(R21/R7,0)</f>
        <v>0.11436772640169</v>
      </c>
      <c r="S22" s="39" t="n">
        <f aca="false">IFERROR(S21/S7,0)</f>
        <v>0.115007247560459</v>
      </c>
      <c r="T22" s="39" t="n">
        <f aca="false">IFERROR(T21/T7,0)</f>
        <v>0.115645177406129</v>
      </c>
      <c r="U22" s="39" t="n">
        <f aca="false">IFERROR(U21/U7,0)</f>
        <v>0.116281519108266</v>
      </c>
      <c r="V22" s="39" t="n">
        <f aca="false">IFERROR(V21/V7,0)</f>
        <v>0.116916275834836</v>
      </c>
      <c r="W22" s="39" t="n">
        <f aca="false">IFERROR(W21/W7,0)</f>
        <v>0.117549450752176</v>
      </c>
      <c r="X22" s="39" t="n">
        <f aca="false">IFERROR(X21/X7,0)</f>
        <v>0.118181047024954</v>
      </c>
      <c r="Y22" s="39" t="n">
        <f aca="false">IFERROR(Y21/Y7,0)</f>
        <v>0.118811067816141</v>
      </c>
      <c r="Z22" s="39" t="n">
        <f aca="false">IFERROR(Z21/Z7,0)</f>
        <v>0.119439516286973</v>
      </c>
    </row>
    <row r="24" customFormat="false" ht="15" hidden="false" customHeight="false" outlineLevel="0" collapsed="false">
      <c r="A24" s="4" t="s">
        <v>527</v>
      </c>
      <c r="B24" s="5"/>
      <c r="C24" s="5"/>
      <c r="D24" s="5"/>
      <c r="E24" s="5"/>
      <c r="F24" s="5"/>
      <c r="G24" s="5"/>
      <c r="H24" s="5"/>
      <c r="I24" s="5"/>
      <c r="J24" s="5"/>
      <c r="K24" s="5"/>
      <c r="L24" s="5"/>
      <c r="M24" s="5"/>
      <c r="N24" s="5"/>
      <c r="O24" s="5"/>
      <c r="P24" s="5"/>
      <c r="Q24" s="5"/>
      <c r="R24" s="5"/>
      <c r="S24" s="5"/>
      <c r="T24" s="5"/>
      <c r="U24" s="5"/>
      <c r="V24" s="5"/>
      <c r="W24" s="5"/>
      <c r="X24" s="5"/>
      <c r="Y24" s="5"/>
      <c r="Z24" s="5"/>
    </row>
    <row r="25" customFormat="false" ht="15" hidden="false" customHeight="false" outlineLevel="0" collapsed="false">
      <c r="A25" s="11" t="s">
        <v>528</v>
      </c>
      <c r="C25" s="35" t="n">
        <f aca="false">-Assumptions!$B$18</f>
        <v>-8000</v>
      </c>
      <c r="D25" s="35" t="n">
        <f aca="false">-Assumptions!$B$18</f>
        <v>-8000</v>
      </c>
      <c r="E25" s="35" t="n">
        <f aca="false">-Assumptions!$B$18</f>
        <v>-8000</v>
      </c>
      <c r="F25" s="35" t="n">
        <f aca="false">-Assumptions!$B$18</f>
        <v>-8000</v>
      </c>
      <c r="G25" s="35" t="n">
        <f aca="false">-Assumptions!$B$18</f>
        <v>-8000</v>
      </c>
      <c r="H25" s="35" t="n">
        <f aca="false">-Assumptions!$B$18</f>
        <v>-8000</v>
      </c>
      <c r="I25" s="35" t="n">
        <f aca="false">-Assumptions!$B$18</f>
        <v>-8000</v>
      </c>
      <c r="J25" s="35" t="n">
        <f aca="false">-Assumptions!$B$18</f>
        <v>-8000</v>
      </c>
      <c r="K25" s="35" t="n">
        <f aca="false">-Assumptions!$B$18</f>
        <v>-8000</v>
      </c>
      <c r="L25" s="35" t="n">
        <f aca="false">-Assumptions!$B$18</f>
        <v>-8000</v>
      </c>
      <c r="M25" s="35" t="n">
        <f aca="false">-Assumptions!$B$18</f>
        <v>-8000</v>
      </c>
      <c r="N25" s="35" t="n">
        <f aca="false">-Assumptions!$B$18</f>
        <v>-8000</v>
      </c>
      <c r="O25" s="35" t="n">
        <f aca="false">-Assumptions!$B$18</f>
        <v>-8000</v>
      </c>
      <c r="P25" s="35" t="n">
        <f aca="false">-Assumptions!$B$18</f>
        <v>-8000</v>
      </c>
      <c r="Q25" s="35" t="n">
        <f aca="false">-Assumptions!$B$18</f>
        <v>-8000</v>
      </c>
      <c r="R25" s="35" t="n">
        <f aca="false">-Assumptions!$B$18</f>
        <v>-8000</v>
      </c>
      <c r="S25" s="35" t="n">
        <f aca="false">-Assumptions!$B$18</f>
        <v>-8000</v>
      </c>
      <c r="T25" s="35" t="n">
        <f aca="false">-Assumptions!$B$18</f>
        <v>-8000</v>
      </c>
      <c r="U25" s="35" t="n">
        <f aca="false">-Assumptions!$B$18</f>
        <v>-8000</v>
      </c>
      <c r="V25" s="35" t="n">
        <f aca="false">-Assumptions!$B$18</f>
        <v>-8000</v>
      </c>
      <c r="W25" s="35" t="n">
        <f aca="false">-Assumptions!$B$18</f>
        <v>-8000</v>
      </c>
      <c r="X25" s="35" t="n">
        <f aca="false">-Assumptions!$B$18</f>
        <v>-8000</v>
      </c>
      <c r="Y25" s="35" t="n">
        <f aca="false">-Assumptions!$B$18</f>
        <v>-8000</v>
      </c>
      <c r="Z25" s="35" t="n">
        <f aca="false">-Assumptions!$B$18</f>
        <v>-8000</v>
      </c>
    </row>
    <row r="26" customFormat="false" ht="15" hidden="false" customHeight="false" outlineLevel="0" collapsed="false">
      <c r="A26" s="11" t="s">
        <v>529</v>
      </c>
      <c r="C26" s="38" t="n">
        <f aca="false">-'Initiative Cash Flows'!C79</f>
        <v>-0</v>
      </c>
      <c r="D26" s="38" t="n">
        <f aca="false">-'Initiative Cash Flows'!D79</f>
        <v>-0</v>
      </c>
      <c r="E26" s="38" t="n">
        <f aca="false">-'Initiative Cash Flows'!E79</f>
        <v>-17626.6666666667</v>
      </c>
      <c r="F26" s="38" t="n">
        <f aca="false">-'Initiative Cash Flows'!F79</f>
        <v>-17626.6666666667</v>
      </c>
      <c r="G26" s="38" t="n">
        <f aca="false">-'Initiative Cash Flows'!G79</f>
        <v>-17626.6666666667</v>
      </c>
      <c r="H26" s="38" t="n">
        <f aca="false">-'Initiative Cash Flows'!H79</f>
        <v>-17626.6666666667</v>
      </c>
      <c r="I26" s="38" t="n">
        <f aca="false">-'Initiative Cash Flows'!I79</f>
        <v>-17626.6666666667</v>
      </c>
      <c r="J26" s="38" t="n">
        <f aca="false">-'Initiative Cash Flows'!J79</f>
        <v>-17626.6666666667</v>
      </c>
      <c r="K26" s="38" t="n">
        <f aca="false">-'Initiative Cash Flows'!K79</f>
        <v>-17626.6666666667</v>
      </c>
      <c r="L26" s="38" t="n">
        <f aca="false">-'Initiative Cash Flows'!L79</f>
        <v>-17626.6666666667</v>
      </c>
      <c r="M26" s="38" t="n">
        <f aca="false">-'Initiative Cash Flows'!M79</f>
        <v>-17626.6666666667</v>
      </c>
      <c r="N26" s="38" t="n">
        <f aca="false">-'Initiative Cash Flows'!N79</f>
        <v>-17626.6666666667</v>
      </c>
      <c r="O26" s="38" t="n">
        <f aca="false">-'Initiative Cash Flows'!O79</f>
        <v>-17626.6666666667</v>
      </c>
      <c r="P26" s="38" t="n">
        <f aca="false">-'Initiative Cash Flows'!P79</f>
        <v>-17626.6666666667</v>
      </c>
      <c r="Q26" s="38" t="n">
        <f aca="false">-'Initiative Cash Flows'!Q79</f>
        <v>-0</v>
      </c>
      <c r="R26" s="38" t="n">
        <f aca="false">-'Initiative Cash Flows'!R79</f>
        <v>-0</v>
      </c>
      <c r="S26" s="38" t="n">
        <f aca="false">-'Initiative Cash Flows'!S79</f>
        <v>-0</v>
      </c>
      <c r="T26" s="38" t="n">
        <f aca="false">-'Initiative Cash Flows'!T79</f>
        <v>-0</v>
      </c>
      <c r="U26" s="38" t="n">
        <f aca="false">-'Initiative Cash Flows'!U79</f>
        <v>-0</v>
      </c>
      <c r="V26" s="38" t="n">
        <f aca="false">-'Initiative Cash Flows'!V79</f>
        <v>-0</v>
      </c>
      <c r="W26" s="38" t="n">
        <f aca="false">-'Initiative Cash Flows'!W79</f>
        <v>-0</v>
      </c>
      <c r="X26" s="38" t="n">
        <f aca="false">-'Initiative Cash Flows'!X79</f>
        <v>-0</v>
      </c>
      <c r="Y26" s="38" t="n">
        <f aca="false">-'Initiative Cash Flows'!Y79</f>
        <v>-0</v>
      </c>
      <c r="Z26" s="38" t="n">
        <f aca="false">-'Initiative Cash Flows'!Z79</f>
        <v>-0</v>
      </c>
    </row>
    <row r="27" customFormat="false" ht="15" hidden="false" customHeight="false" outlineLevel="0" collapsed="false">
      <c r="A27" s="11" t="s">
        <v>530</v>
      </c>
      <c r="C27" s="35" t="n">
        <f aca="false">-(Assumptions!$B$21-Assumptions!$B$22)</f>
        <v>-5000</v>
      </c>
      <c r="D27" s="35" t="n">
        <f aca="false">-(Assumptions!$B$21-Assumptions!$B$22)</f>
        <v>-5000</v>
      </c>
      <c r="E27" s="35" t="n">
        <f aca="false">-(Assumptions!$B$21-Assumptions!$B$22)</f>
        <v>-5000</v>
      </c>
      <c r="F27" s="35" t="n">
        <f aca="false">-(Assumptions!$B$21-Assumptions!$B$22)</f>
        <v>-5000</v>
      </c>
      <c r="G27" s="35" t="n">
        <f aca="false">-(Assumptions!$B$21-Assumptions!$B$22)</f>
        <v>-5000</v>
      </c>
      <c r="H27" s="35" t="n">
        <f aca="false">-(Assumptions!$B$21-Assumptions!$B$22)</f>
        <v>-5000</v>
      </c>
      <c r="I27" s="35" t="n">
        <f aca="false">-(Assumptions!$B$21-Assumptions!$B$22)</f>
        <v>-5000</v>
      </c>
      <c r="J27" s="35" t="n">
        <f aca="false">-(Assumptions!$B$21-Assumptions!$B$22)</f>
        <v>-5000</v>
      </c>
      <c r="K27" s="35" t="n">
        <f aca="false">-(Assumptions!$B$21-Assumptions!$B$22)</f>
        <v>-5000</v>
      </c>
      <c r="L27" s="35" t="n">
        <f aca="false">-(Assumptions!$B$21-Assumptions!$B$22)</f>
        <v>-5000</v>
      </c>
      <c r="M27" s="35" t="n">
        <f aca="false">-(Assumptions!$B$21-Assumptions!$B$22)</f>
        <v>-5000</v>
      </c>
      <c r="N27" s="35" t="n">
        <f aca="false">-(Assumptions!$B$21-Assumptions!$B$22)</f>
        <v>-5000</v>
      </c>
      <c r="O27" s="35" t="n">
        <f aca="false">-(Assumptions!$B$21-Assumptions!$B$22)</f>
        <v>-5000</v>
      </c>
      <c r="P27" s="35" t="n">
        <f aca="false">-(Assumptions!$B$21-Assumptions!$B$22)</f>
        <v>-5000</v>
      </c>
      <c r="Q27" s="35" t="n">
        <f aca="false">-(Assumptions!$B$21-Assumptions!$B$22)</f>
        <v>-5000</v>
      </c>
      <c r="R27" s="35" t="n">
        <f aca="false">-(Assumptions!$B$21-Assumptions!$B$22)</f>
        <v>-5000</v>
      </c>
      <c r="S27" s="35" t="n">
        <f aca="false">-(Assumptions!$B$21-Assumptions!$B$22)</f>
        <v>-5000</v>
      </c>
      <c r="T27" s="35" t="n">
        <f aca="false">-(Assumptions!$B$21-Assumptions!$B$22)</f>
        <v>-5000</v>
      </c>
      <c r="U27" s="35" t="n">
        <f aca="false">-(Assumptions!$B$21-Assumptions!$B$22)</f>
        <v>-5000</v>
      </c>
      <c r="V27" s="35" t="n">
        <f aca="false">-(Assumptions!$B$21-Assumptions!$B$22)</f>
        <v>-5000</v>
      </c>
      <c r="W27" s="35" t="n">
        <f aca="false">-(Assumptions!$B$21-Assumptions!$B$22)</f>
        <v>-5000</v>
      </c>
      <c r="X27" s="35" t="n">
        <f aca="false">-(Assumptions!$B$21-Assumptions!$B$22)</f>
        <v>-5000</v>
      </c>
      <c r="Y27" s="35" t="n">
        <f aca="false">-(Assumptions!$B$21-Assumptions!$B$22)</f>
        <v>-5000</v>
      </c>
      <c r="Z27" s="35" t="n">
        <f aca="false">-(Assumptions!$B$21-Assumptions!$B$22)</f>
        <v>-5000</v>
      </c>
    </row>
    <row r="28" customFormat="false" ht="15" hidden="false" customHeight="false" outlineLevel="0" collapsed="false">
      <c r="A28" s="11" t="s">
        <v>531</v>
      </c>
      <c r="C28" s="38" t="n">
        <f aca="false">-'Initiative Cash Flows'!C75</f>
        <v>-0</v>
      </c>
      <c r="D28" s="38" t="n">
        <f aca="false">-'Initiative Cash Flows'!D75</f>
        <v>-0</v>
      </c>
      <c r="E28" s="38" t="n">
        <f aca="false">-'Initiative Cash Flows'!E75</f>
        <v>-1198.61333333333</v>
      </c>
      <c r="F28" s="38" t="n">
        <f aca="false">-'Initiative Cash Flows'!F75</f>
        <v>-1182.51212310876</v>
      </c>
      <c r="G28" s="38" t="n">
        <f aca="false">-'Initiative Cash Flows'!G75</f>
        <v>-1166.29686264509</v>
      </c>
      <c r="H28" s="38" t="n">
        <f aca="false">-'Initiative Cash Flows'!H75</f>
        <v>-1149.96674408647</v>
      </c>
      <c r="I28" s="38" t="n">
        <f aca="false">-'Initiative Cash Flows'!I75</f>
        <v>-1133.52095385473</v>
      </c>
      <c r="J28" s="38" t="n">
        <f aca="false">-'Initiative Cash Flows'!J75</f>
        <v>-1116.95867260884</v>
      </c>
      <c r="K28" s="38" t="n">
        <f aca="false">-'Initiative Cash Flows'!K75</f>
        <v>-1100.27907520414</v>
      </c>
      <c r="L28" s="38" t="n">
        <f aca="false">-'Initiative Cash Flows'!L75</f>
        <v>-1083.48133065114</v>
      </c>
      <c r="M28" s="38" t="n">
        <f aca="false">-'Initiative Cash Flows'!M75</f>
        <v>-1066.56460207424</v>
      </c>
      <c r="N28" s="38" t="n">
        <f aca="false">-'Initiative Cash Flows'!N75</f>
        <v>-1049.52804666991</v>
      </c>
      <c r="O28" s="38" t="n">
        <f aca="false">-'Initiative Cash Flows'!O75</f>
        <v>-1032.3708156648</v>
      </c>
      <c r="P28" s="38" t="n">
        <f aca="false">-'Initiative Cash Flows'!P75</f>
        <v>-1015.0920542734</v>
      </c>
      <c r="Q28" s="38" t="n">
        <f aca="false">-'Initiative Cash Flows'!Q75</f>
        <v>-997.690901655483</v>
      </c>
      <c r="R28" s="38" t="n">
        <f aca="false">-'Initiative Cash Flows'!R75</f>
        <v>-980.166490873188</v>
      </c>
      <c r="S28" s="38" t="n">
        <f aca="false">-'Initiative Cash Flows'!S75</f>
        <v>-962.517948847852</v>
      </c>
      <c r="T28" s="38" t="n">
        <f aca="false">-'Initiative Cash Flows'!T75</f>
        <v>-944.744396316503</v>
      </c>
      <c r="U28" s="38" t="n">
        <f aca="false">-'Initiative Cash Flows'!U75</f>
        <v>-926.844947788057</v>
      </c>
      <c r="V28" s="38" t="n">
        <f aca="false">-'Initiative Cash Flows'!V75</f>
        <v>-908.818711499201</v>
      </c>
      <c r="W28" s="38" t="n">
        <f aca="false">-'Initiative Cash Flows'!W75</f>
        <v>-890.664789369965</v>
      </c>
      <c r="X28" s="38" t="n">
        <f aca="false">-'Initiative Cash Flows'!X75</f>
        <v>-872.382276958981</v>
      </c>
      <c r="Y28" s="38" t="n">
        <f aca="false">-'Initiative Cash Flows'!Y75</f>
        <v>-853.970263418419</v>
      </c>
      <c r="Z28" s="38" t="n">
        <f aca="false">-'Initiative Cash Flows'!Z75</f>
        <v>-835.427831448612</v>
      </c>
    </row>
    <row r="29" customFormat="false" ht="15" hidden="false" customHeight="false" outlineLevel="0" collapsed="false">
      <c r="A29" s="6" t="s">
        <v>532</v>
      </c>
      <c r="C29" s="37" t="n">
        <f aca="false">C21+C25+C26+C27+C28</f>
        <v>22000</v>
      </c>
      <c r="D29" s="37" t="n">
        <f aca="false">D21+D25+D26+D27+D28</f>
        <v>-7316.8819444445</v>
      </c>
      <c r="E29" s="37" t="n">
        <f aca="false">E21+E25+E26+E27+E28</f>
        <v>1387.20861111105</v>
      </c>
      <c r="F29" s="37" t="n">
        <f aca="false">F21+F25+F26+F27+F28</f>
        <v>7886.51613189116</v>
      </c>
      <c r="G29" s="37" t="n">
        <f aca="false">G21+G25+G26+G27+G28</f>
        <v>14389.7943200454</v>
      </c>
      <c r="H29" s="37" t="n">
        <f aca="false">H21+H25+H26+H27+H28</f>
        <v>20897.0649532419</v>
      </c>
      <c r="I29" s="37" t="n">
        <f aca="false">I21+I25+I26+I27+I28</f>
        <v>24158.3499230939</v>
      </c>
      <c r="J29" s="37" t="n">
        <f aca="false">J21+J25+J26+J27+J28</f>
        <v>24793.1156801921</v>
      </c>
      <c r="K29" s="37" t="n">
        <f aca="false">K21+K25+K26+K27+K28</f>
        <v>25431.9399013629</v>
      </c>
      <c r="L29" s="37" t="n">
        <f aca="false">L21+L25+L26+L27+L28</f>
        <v>26074.8448235966</v>
      </c>
      <c r="M29" s="37" t="n">
        <f aca="false">M21+M25+M26+M27+M28</f>
        <v>26721.8528001998</v>
      </c>
      <c r="N29" s="37" t="n">
        <f aca="false">N21+N25+N26+N27+N28</f>
        <v>27372.9863013967</v>
      </c>
      <c r="O29" s="37" t="n">
        <f aca="false">O21+O25+O26+O27+O28</f>
        <v>28028.2679149326</v>
      </c>
      <c r="P29" s="37" t="n">
        <f aca="false">P21+P25+P26+P27+P28</f>
        <v>28687.7203466807</v>
      </c>
      <c r="Q29" s="37" t="n">
        <f aca="false">Q21+Q25+Q26+Q27+Q28</f>
        <v>46978.0330879189</v>
      </c>
      <c r="R29" s="37" t="n">
        <f aca="false">R21+R25+R26+R27+R28</f>
        <v>47645.895749276</v>
      </c>
      <c r="S29" s="37" t="n">
        <f aca="false">S21+S25+S26+S27+S28</f>
        <v>48317.9980613487</v>
      </c>
      <c r="T29" s="37" t="n">
        <f aca="false">T21+T25+T26+T27+T28</f>
        <v>48994.3632086537</v>
      </c>
      <c r="U29" s="37" t="n">
        <f aca="false">U21+U25+U26+U27+U28</f>
        <v>49675.0144969174</v>
      </c>
      <c r="V29" s="37" t="n">
        <f aca="false">V21+V25+V26+V27+V28</f>
        <v>50359.975353702</v>
      </c>
      <c r="W29" s="37" t="n">
        <f aca="false">W21+W25+W26+W27+W28</f>
        <v>51049.2693290342</v>
      </c>
      <c r="X29" s="37" t="n">
        <f aca="false">X21+X25+X26+X27+X28</f>
        <v>51742.9200960384</v>
      </c>
      <c r="Y29" s="37" t="n">
        <f aca="false">Y21+Y25+Y26+Y27+Y28</f>
        <v>52440.9514515714</v>
      </c>
      <c r="Z29" s="37" t="n">
        <f aca="false">Z21+Z25+Z26+Z27+Z28</f>
        <v>53143.3873168622</v>
      </c>
    </row>
    <row r="30" customFormat="false" ht="15" hidden="false" customHeight="false" outlineLevel="0" collapsed="false">
      <c r="A30" s="11" t="s">
        <v>533</v>
      </c>
      <c r="C30" s="35" t="n">
        <f aca="false">-MAX(0,C29)*Assumptions!$B$10</f>
        <v>-5500</v>
      </c>
      <c r="D30" s="35" t="n">
        <f aca="false">-MAX(0,D29)*Assumptions!$B$10</f>
        <v>-0</v>
      </c>
      <c r="E30" s="35" t="n">
        <f aca="false">-MAX(0,E29)*Assumptions!$B$10</f>
        <v>-346.802152777763</v>
      </c>
      <c r="F30" s="35" t="n">
        <f aca="false">-MAX(0,F29)*Assumptions!$B$10</f>
        <v>-1971.62903297279</v>
      </c>
      <c r="G30" s="35" t="n">
        <f aca="false">-MAX(0,G29)*Assumptions!$B$10</f>
        <v>-3597.44858001134</v>
      </c>
      <c r="H30" s="35" t="n">
        <f aca="false">-MAX(0,H29)*Assumptions!$B$10</f>
        <v>-5224.26623831048</v>
      </c>
      <c r="I30" s="35" t="n">
        <f aca="false">-MAX(0,I29)*Assumptions!$B$10</f>
        <v>-6039.58748077348</v>
      </c>
      <c r="J30" s="35" t="n">
        <f aca="false">-MAX(0,J29)*Assumptions!$B$10</f>
        <v>-6198.27892004802</v>
      </c>
      <c r="K30" s="35" t="n">
        <f aca="false">-MAX(0,K29)*Assumptions!$B$10</f>
        <v>-6357.98497534073</v>
      </c>
      <c r="L30" s="35" t="n">
        <f aca="false">-MAX(0,L29)*Assumptions!$B$10</f>
        <v>-6518.71120589915</v>
      </c>
      <c r="M30" s="35" t="n">
        <f aca="false">-MAX(0,M29)*Assumptions!$B$10</f>
        <v>-6680.46320004995</v>
      </c>
      <c r="N30" s="35" t="n">
        <f aca="false">-MAX(0,N29)*Assumptions!$B$10</f>
        <v>-6843.24657534918</v>
      </c>
      <c r="O30" s="35" t="n">
        <f aca="false">-MAX(0,O29)*Assumptions!$B$10</f>
        <v>-7007.06697873315</v>
      </c>
      <c r="P30" s="35" t="n">
        <f aca="false">-MAX(0,P29)*Assumptions!$B$10</f>
        <v>-7171.93008667017</v>
      </c>
      <c r="Q30" s="35" t="n">
        <f aca="false">-MAX(0,Q29)*Assumptions!$B$10</f>
        <v>-11744.5082719797</v>
      </c>
      <c r="R30" s="35" t="n">
        <f aca="false">-MAX(0,R29)*Assumptions!$B$10</f>
        <v>-11911.473937319</v>
      </c>
      <c r="S30" s="35" t="n">
        <f aca="false">-MAX(0,S29)*Assumptions!$B$10</f>
        <v>-12079.4995153372</v>
      </c>
      <c r="T30" s="35" t="n">
        <f aca="false">-MAX(0,T29)*Assumptions!$B$10</f>
        <v>-12248.5908021634</v>
      </c>
      <c r="U30" s="35" t="n">
        <f aca="false">-MAX(0,U29)*Assumptions!$B$10</f>
        <v>-12418.7536242293</v>
      </c>
      <c r="V30" s="35" t="n">
        <f aca="false">-MAX(0,V29)*Assumptions!$B$10</f>
        <v>-12589.9938384255</v>
      </c>
      <c r="W30" s="35" t="n">
        <f aca="false">-MAX(0,W29)*Assumptions!$B$10</f>
        <v>-12762.3173322586</v>
      </c>
      <c r="X30" s="35" t="n">
        <f aca="false">-MAX(0,X29)*Assumptions!$B$10</f>
        <v>-12935.7300240096</v>
      </c>
      <c r="Y30" s="35" t="n">
        <f aca="false">-MAX(0,Y29)*Assumptions!$B$10</f>
        <v>-13110.2378628929</v>
      </c>
      <c r="Z30" s="35" t="n">
        <f aca="false">-MAX(0,Z29)*Assumptions!$B$10</f>
        <v>-13285.8468292155</v>
      </c>
    </row>
    <row r="31" customFormat="false" ht="15" hidden="false" customHeight="false" outlineLevel="0" collapsed="false">
      <c r="A31" s="6" t="s">
        <v>534</v>
      </c>
      <c r="C31" s="37" t="n">
        <f aca="false">C29+C30</f>
        <v>16500</v>
      </c>
      <c r="D31" s="37" t="n">
        <f aca="false">D29+D30</f>
        <v>-7316.8819444445</v>
      </c>
      <c r="E31" s="37" t="n">
        <f aca="false">E29+E30</f>
        <v>1040.40645833329</v>
      </c>
      <c r="F31" s="37" t="n">
        <f aca="false">F29+F30</f>
        <v>5914.88709891837</v>
      </c>
      <c r="G31" s="37" t="n">
        <f aca="false">G29+G30</f>
        <v>10792.345740034</v>
      </c>
      <c r="H31" s="37" t="n">
        <f aca="false">H29+H30</f>
        <v>15672.7987149314</v>
      </c>
      <c r="I31" s="37" t="n">
        <f aca="false">I29+I30</f>
        <v>18118.7624423204</v>
      </c>
      <c r="J31" s="37" t="n">
        <f aca="false">J29+J30</f>
        <v>18594.8367601441</v>
      </c>
      <c r="K31" s="37" t="n">
        <f aca="false">K29+K30</f>
        <v>19073.9549260222</v>
      </c>
      <c r="L31" s="37" t="n">
        <f aca="false">L29+L30</f>
        <v>19556.1336176974</v>
      </c>
      <c r="M31" s="37" t="n">
        <f aca="false">M29+M30</f>
        <v>20041.3896001498</v>
      </c>
      <c r="N31" s="37" t="n">
        <f aca="false">N29+N30</f>
        <v>20529.7397260475</v>
      </c>
      <c r="O31" s="37" t="n">
        <f aca="false">O29+O30</f>
        <v>21021.2009361994</v>
      </c>
      <c r="P31" s="37" t="n">
        <f aca="false">P29+P30</f>
        <v>21515.7902600105</v>
      </c>
      <c r="Q31" s="37" t="n">
        <f aca="false">Q29+Q30</f>
        <v>35233.5248159392</v>
      </c>
      <c r="R31" s="37" t="n">
        <f aca="false">R29+R30</f>
        <v>35734.421811957</v>
      </c>
      <c r="S31" s="37" t="n">
        <f aca="false">S29+S30</f>
        <v>36238.4985460115</v>
      </c>
      <c r="T31" s="37" t="n">
        <f aca="false">T29+T30</f>
        <v>36745.7724064902</v>
      </c>
      <c r="U31" s="37" t="n">
        <f aca="false">U29+U30</f>
        <v>37256.260872688</v>
      </c>
      <c r="V31" s="37" t="n">
        <f aca="false">V29+V30</f>
        <v>37769.9815152765</v>
      </c>
      <c r="W31" s="37" t="n">
        <f aca="false">W29+W30</f>
        <v>38286.9519967757</v>
      </c>
      <c r="X31" s="37" t="n">
        <f aca="false">X29+X30</f>
        <v>38807.1900720288</v>
      </c>
      <c r="Y31" s="37" t="n">
        <f aca="false">Y29+Y30</f>
        <v>39330.7135886786</v>
      </c>
      <c r="Z31" s="37" t="n">
        <f aca="false">Z29+Z30</f>
        <v>39857.5404876466</v>
      </c>
    </row>
    <row r="33" customFormat="false" ht="15" hidden="false" customHeight="false" outlineLevel="0" collapsed="false">
      <c r="A33" s="4" t="s">
        <v>535</v>
      </c>
      <c r="B33" s="5"/>
      <c r="C33" s="5"/>
      <c r="D33" s="5"/>
      <c r="E33" s="5"/>
      <c r="F33" s="5"/>
      <c r="G33" s="5"/>
      <c r="H33" s="5"/>
      <c r="I33" s="5"/>
      <c r="J33" s="5"/>
      <c r="K33" s="5"/>
      <c r="L33" s="5"/>
      <c r="M33" s="5"/>
      <c r="N33" s="5"/>
      <c r="O33" s="5"/>
      <c r="P33" s="5"/>
      <c r="Q33" s="5"/>
      <c r="R33" s="5"/>
      <c r="S33" s="5"/>
      <c r="T33" s="5"/>
      <c r="U33" s="5"/>
      <c r="V33" s="5"/>
      <c r="W33" s="5"/>
      <c r="X33" s="5"/>
      <c r="Y33" s="5"/>
      <c r="Z33" s="5"/>
    </row>
    <row r="34" customFormat="false" ht="15" hidden="false" customHeight="false" outlineLevel="0" collapsed="false">
      <c r="A34" s="11" t="s">
        <v>534</v>
      </c>
      <c r="C34" s="35" t="n">
        <f aca="false">C31</f>
        <v>16500</v>
      </c>
      <c r="D34" s="35" t="n">
        <f aca="false">D31</f>
        <v>-7316.8819444445</v>
      </c>
      <c r="E34" s="35" t="n">
        <f aca="false">E31</f>
        <v>1040.40645833329</v>
      </c>
      <c r="F34" s="35" t="n">
        <f aca="false">F31</f>
        <v>5914.88709891837</v>
      </c>
      <c r="G34" s="35" t="n">
        <f aca="false">G31</f>
        <v>10792.345740034</v>
      </c>
      <c r="H34" s="35" t="n">
        <f aca="false">H31</f>
        <v>15672.7987149314</v>
      </c>
      <c r="I34" s="35" t="n">
        <f aca="false">I31</f>
        <v>18118.7624423204</v>
      </c>
      <c r="J34" s="35" t="n">
        <f aca="false">J31</f>
        <v>18594.8367601441</v>
      </c>
      <c r="K34" s="35" t="n">
        <f aca="false">K31</f>
        <v>19073.9549260222</v>
      </c>
      <c r="L34" s="35" t="n">
        <f aca="false">L31</f>
        <v>19556.1336176974</v>
      </c>
      <c r="M34" s="35" t="n">
        <f aca="false">M31</f>
        <v>20041.3896001498</v>
      </c>
      <c r="N34" s="35" t="n">
        <f aca="false">N31</f>
        <v>20529.7397260475</v>
      </c>
      <c r="O34" s="35" t="n">
        <f aca="false">O31</f>
        <v>21021.2009361994</v>
      </c>
      <c r="P34" s="35" t="n">
        <f aca="false">P31</f>
        <v>21515.7902600105</v>
      </c>
      <c r="Q34" s="35" t="n">
        <f aca="false">Q31</f>
        <v>35233.5248159392</v>
      </c>
      <c r="R34" s="35" t="n">
        <f aca="false">R31</f>
        <v>35734.421811957</v>
      </c>
      <c r="S34" s="35" t="n">
        <f aca="false">S31</f>
        <v>36238.4985460115</v>
      </c>
      <c r="T34" s="35" t="n">
        <f aca="false">T31</f>
        <v>36745.7724064902</v>
      </c>
      <c r="U34" s="35" t="n">
        <f aca="false">U31</f>
        <v>37256.260872688</v>
      </c>
      <c r="V34" s="35" t="n">
        <f aca="false">V31</f>
        <v>37769.9815152765</v>
      </c>
      <c r="W34" s="35" t="n">
        <f aca="false">W31</f>
        <v>38286.9519967757</v>
      </c>
      <c r="X34" s="35" t="n">
        <f aca="false">X31</f>
        <v>38807.1900720288</v>
      </c>
      <c r="Y34" s="35" t="n">
        <f aca="false">Y31</f>
        <v>39330.7135886786</v>
      </c>
      <c r="Z34" s="35" t="n">
        <f aca="false">Z31</f>
        <v>39857.5404876466</v>
      </c>
    </row>
    <row r="35" customFormat="false" ht="15" hidden="false" customHeight="false" outlineLevel="0" collapsed="false">
      <c r="A35" s="11" t="s">
        <v>536</v>
      </c>
      <c r="C35" s="35" t="n">
        <f aca="false">-C25-C26</f>
        <v>8000</v>
      </c>
      <c r="D35" s="35" t="n">
        <f aca="false">-D25-D26</f>
        <v>8000</v>
      </c>
      <c r="E35" s="35" t="n">
        <f aca="false">-E25-E26</f>
        <v>25626.6666666667</v>
      </c>
      <c r="F35" s="35" t="n">
        <f aca="false">-F25-F26</f>
        <v>25626.6666666667</v>
      </c>
      <c r="G35" s="35" t="n">
        <f aca="false">-G25-G26</f>
        <v>25626.6666666667</v>
      </c>
      <c r="H35" s="35" t="n">
        <f aca="false">-H25-H26</f>
        <v>25626.6666666667</v>
      </c>
      <c r="I35" s="35" t="n">
        <f aca="false">-I25-I26</f>
        <v>25626.6666666667</v>
      </c>
      <c r="J35" s="35" t="n">
        <f aca="false">-J25-J26</f>
        <v>25626.6666666667</v>
      </c>
      <c r="K35" s="35" t="n">
        <f aca="false">-K25-K26</f>
        <v>25626.6666666667</v>
      </c>
      <c r="L35" s="35" t="n">
        <f aca="false">-L25-L26</f>
        <v>25626.6666666667</v>
      </c>
      <c r="M35" s="35" t="n">
        <f aca="false">-M25-M26</f>
        <v>25626.6666666667</v>
      </c>
      <c r="N35" s="35" t="n">
        <f aca="false">-N25-N26</f>
        <v>25626.6666666667</v>
      </c>
      <c r="O35" s="35" t="n">
        <f aca="false">-O25-O26</f>
        <v>25626.6666666667</v>
      </c>
      <c r="P35" s="35" t="n">
        <f aca="false">-P25-P26</f>
        <v>25626.6666666667</v>
      </c>
      <c r="Q35" s="35" t="n">
        <f aca="false">-Q25-Q26</f>
        <v>8000</v>
      </c>
      <c r="R35" s="35" t="n">
        <f aca="false">-R25-R26</f>
        <v>8000</v>
      </c>
      <c r="S35" s="35" t="n">
        <f aca="false">-S25-S26</f>
        <v>8000</v>
      </c>
      <c r="T35" s="35" t="n">
        <f aca="false">-T25-T26</f>
        <v>8000</v>
      </c>
      <c r="U35" s="35" t="n">
        <f aca="false">-U25-U26</f>
        <v>8000</v>
      </c>
      <c r="V35" s="35" t="n">
        <f aca="false">-V25-V26</f>
        <v>8000</v>
      </c>
      <c r="W35" s="35" t="n">
        <f aca="false">-W25-W26</f>
        <v>8000</v>
      </c>
      <c r="X35" s="35" t="n">
        <f aca="false">-X25-X26</f>
        <v>8000</v>
      </c>
      <c r="Y35" s="35" t="n">
        <f aca="false">-Y25-Y26</f>
        <v>8000</v>
      </c>
      <c r="Z35" s="35" t="n">
        <f aca="false">-Z25-Z26</f>
        <v>8000</v>
      </c>
    </row>
    <row r="36" customFormat="false" ht="15" hidden="false" customHeight="false" outlineLevel="0" collapsed="false">
      <c r="A36" s="11" t="s">
        <v>537</v>
      </c>
      <c r="C36" s="35" t="n">
        <f aca="false">0</f>
        <v>0</v>
      </c>
      <c r="D36" s="35" t="n">
        <f aca="false">-((D7-C7)*Assumptions!$B$26/Assumptions!$B$29)</f>
        <v>-3700.65789473676</v>
      </c>
      <c r="E36" s="35" t="n">
        <f aca="false">-((E7-D7)*Assumptions!$B$26/Assumptions!$B$29)</f>
        <v>-3719.16118421044</v>
      </c>
      <c r="F36" s="35" t="n">
        <f aca="false">-((F7-E7)*Assumptions!$B$26/Assumptions!$B$29)</f>
        <v>-3737.75699013149</v>
      </c>
      <c r="G36" s="35" t="n">
        <f aca="false">-((G7-F7)*Assumptions!$B$26/Assumptions!$B$29)</f>
        <v>-3756.44577508214</v>
      </c>
      <c r="H36" s="35" t="n">
        <f aca="false">-((H7-G7)*Assumptions!$B$26/Assumptions!$B$29)</f>
        <v>-3775.22800395756</v>
      </c>
      <c r="I36" s="35" t="n">
        <f aca="false">-((I7-H7)*Assumptions!$B$26/Assumptions!$B$29)</f>
        <v>-3794.10414397734</v>
      </c>
      <c r="J36" s="35" t="n">
        <f aca="false">-((J7-I7)*Assumptions!$B$26/Assumptions!$B$29)</f>
        <v>-3813.07466469728</v>
      </c>
      <c r="K36" s="35" t="n">
        <f aca="false">-((K7-J7)*Assumptions!$B$26/Assumptions!$B$29)</f>
        <v>-3832.14003802076</v>
      </c>
      <c r="L36" s="35" t="n">
        <f aca="false">-((L7-K7)*Assumptions!$B$26/Assumptions!$B$29)</f>
        <v>-3851.30073821084</v>
      </c>
      <c r="M36" s="35" t="n">
        <f aca="false">-((M7-L7)*Assumptions!$B$26/Assumptions!$B$29)</f>
        <v>-3870.5572419019</v>
      </c>
      <c r="N36" s="35" t="n">
        <f aca="false">-((N7-M7)*Assumptions!$B$26/Assumptions!$B$29)</f>
        <v>-3889.91002811138</v>
      </c>
      <c r="O36" s="35" t="n">
        <f aca="false">-((O7-N7)*Assumptions!$B$26/Assumptions!$B$29)</f>
        <v>-3909.35957825199</v>
      </c>
      <c r="P36" s="35" t="n">
        <f aca="false">-((P7-O7)*Assumptions!$B$26/Assumptions!$B$29)</f>
        <v>-3928.90637614324</v>
      </c>
      <c r="Q36" s="35" t="n">
        <f aca="false">-((Q7-P7)*Assumptions!$B$26/Assumptions!$B$29)</f>
        <v>-3948.55090802393</v>
      </c>
      <c r="R36" s="35" t="n">
        <f aca="false">-((R7-Q7)*Assumptions!$B$26/Assumptions!$B$29)</f>
        <v>-3968.293662564</v>
      </c>
      <c r="S36" s="35" t="n">
        <f aca="false">-((S7-R7)*Assumptions!$B$26/Assumptions!$B$29)</f>
        <v>-3988.13513087681</v>
      </c>
      <c r="T36" s="35" t="n">
        <f aca="false">-((T7-S7)*Assumptions!$B$26/Assumptions!$B$29)</f>
        <v>-4008.07580653117</v>
      </c>
      <c r="U36" s="35" t="n">
        <f aca="false">-((U7-T7)*Assumptions!$B$26/Assumptions!$B$29)</f>
        <v>-4028.11618556395</v>
      </c>
      <c r="V36" s="35" t="n">
        <f aca="false">-((V7-U7)*Assumptions!$B$26/Assumptions!$B$29)</f>
        <v>-4048.25676649177</v>
      </c>
      <c r="W36" s="35" t="n">
        <f aca="false">-((W7-V7)*Assumptions!$B$26/Assumptions!$B$29)</f>
        <v>-4068.49805032409</v>
      </c>
      <c r="X36" s="35" t="n">
        <f aca="false">-((X7-W7)*Assumptions!$B$26/Assumptions!$B$29)</f>
        <v>-4088.84054057585</v>
      </c>
      <c r="Y36" s="35" t="n">
        <f aca="false">-((Y7-X7)*Assumptions!$B$26/Assumptions!$B$29)</f>
        <v>-4109.28474327876</v>
      </c>
      <c r="Z36" s="35" t="n">
        <f aca="false">-((Z7-Y7)*Assumptions!$B$26/Assumptions!$B$29)</f>
        <v>-4129.83116699499</v>
      </c>
    </row>
    <row r="37" customFormat="false" ht="15" hidden="false" customHeight="false" outlineLevel="0" collapsed="false">
      <c r="A37" s="11" t="s">
        <v>538</v>
      </c>
      <c r="C37" s="35" t="n">
        <f aca="false">0</f>
        <v>0</v>
      </c>
      <c r="D37" s="35" t="n">
        <f aca="false">((-(D8+D10+D14+D16+D18))-(-(C8+C10+C14+C16+C18)))*Assumptions!$B$27/Assumptions!$B$29</f>
        <v>33994.1817434211</v>
      </c>
      <c r="E37" s="35" t="n">
        <f aca="false">((-(E8+E10+E14+E16+E18))-(-(D8+D10+D14+D16+D18)))*Assumptions!$B$27/Assumptions!$B$29</f>
        <v>-18884.521381579</v>
      </c>
      <c r="F37" s="35" t="n">
        <f aca="false">((-(F8+F10+F14+F16+F18))-(-(E8+E10+E14+E16+E18)))*Assumptions!$B$27/Assumptions!$B$29</f>
        <v>1897.11685361835</v>
      </c>
      <c r="G37" s="35" t="n">
        <f aca="false">((-(G8+G10+G14+G16+G18))-(-(F8+F10+F14+F16+F18)))*Assumptions!$B$27/Assumptions!$B$29</f>
        <v>1905.77017141282</v>
      </c>
      <c r="H37" s="35" t="n">
        <f aca="false">((-(H8+H10+H14+H16+H18))-(-(G8+G10+G14+G16+G18)))*Assumptions!$B$27/Assumptions!$B$29</f>
        <v>1914.46509126319</v>
      </c>
      <c r="I37" s="35" t="n">
        <f aca="false">((-(I8+I10+I14+I16+I18))-(-(H8+H10+H14+H16+H18)))*Assumptions!$B$27/Assumptions!$B$29</f>
        <v>1923.20181785092</v>
      </c>
      <c r="J37" s="35" t="n">
        <f aca="false">((-(J8+J10+J14+J16+J18))-(-(I8+I10+I14+I16+I18)))*Assumptions!$B$27/Assumptions!$B$29</f>
        <v>1931.98055687374</v>
      </c>
      <c r="K37" s="35" t="n">
        <f aca="false">((-(K8+K10+K14+K16+K18))-(-(J8+J10+J14+J16+J18)))*Assumptions!$B$27/Assumptions!$B$29</f>
        <v>1940.80151505165</v>
      </c>
      <c r="L37" s="35" t="n">
        <f aca="false">((-(L8+L10+L14+L16+L18))-(-(K8+K10+K14+K16+K18)))*Assumptions!$B$27/Assumptions!$B$29</f>
        <v>1949.66490013114</v>
      </c>
      <c r="M37" s="35" t="n">
        <f aca="false">((-(M8+M10+M14+M16+M18))-(-(L8+L10+L14+L16+L18)))*Assumptions!$B$27/Assumptions!$B$29</f>
        <v>1958.57092089111</v>
      </c>
      <c r="N37" s="35" t="n">
        <f aca="false">((-(N8+N10+N14+N16+N18))-(-(M8+M10+M14+M16+M18)))*Assumptions!$B$27/Assumptions!$B$29</f>
        <v>1967.51978714733</v>
      </c>
      <c r="O37" s="35" t="n">
        <f aca="false">((-(O8+O10+O14+O16+O18))-(-(N8+N10+N14+N16+N18)))*Assumptions!$B$27/Assumptions!$B$29</f>
        <v>1976.51170975826</v>
      </c>
      <c r="P37" s="35" t="n">
        <f aca="false">((-(P8+P10+P14+P16+P18))-(-(O8+O10+O14+O16+O18)))*Assumptions!$B$27/Assumptions!$B$29</f>
        <v>1985.54690062941</v>
      </c>
      <c r="Q37" s="35" t="n">
        <f aca="false">((-(Q8+Q10+Q14+Q16+Q18))-(-(P8+P10+P14+P16+P18)))*Assumptions!$B$27/Assumptions!$B$29</f>
        <v>1994.6255727197</v>
      </c>
      <c r="R37" s="35" t="n">
        <f aca="false">((-(R8+R10+R14+R16+R18))-(-(Q8+Q10+Q14+Q16+Q18)))*Assumptions!$B$27/Assumptions!$B$29</f>
        <v>2003.74794004552</v>
      </c>
      <c r="S37" s="35" t="n">
        <f aca="false">((-(S8+S10+S14+S16+S18))-(-(R8+R10+R14+R16+R18)))*Assumptions!$B$27/Assumptions!$B$29</f>
        <v>2012.91421768694</v>
      </c>
      <c r="T37" s="35" t="n">
        <f aca="false">((-(T8+T10+T14+T16+T18))-(-(S8+S10+S14+S16+S18)))*Assumptions!$B$27/Assumptions!$B$29</f>
        <v>2022.12462179241</v>
      </c>
      <c r="U37" s="35" t="n">
        <f aca="false">((-(U8+U10+U14+U16+U18))-(-(T8+T10+T14+T16+T18)))*Assumptions!$B$27/Assumptions!$B$29</f>
        <v>2031.3793695846</v>
      </c>
      <c r="V37" s="35" t="n">
        <f aca="false">((-(V8+V10+V14+V16+V18))-(-(U8+U10+U14+U16+U18)))*Assumptions!$B$27/Assumptions!$B$29</f>
        <v>2040.67867936497</v>
      </c>
      <c r="W37" s="35" t="n">
        <f aca="false">((-(W8+W10+W14+W16+W18))-(-(V8+V10+V14+V16+V18)))*Assumptions!$B$27/Assumptions!$B$29</f>
        <v>2050.02277052014</v>
      </c>
      <c r="X37" s="35" t="n">
        <f aca="false">((-(X8+X10+X14+X16+X18))-(-(W8+W10+W14+W16+W18)))*Assumptions!$B$27/Assumptions!$B$29</f>
        <v>2059.41186352655</v>
      </c>
      <c r="Y37" s="35" t="n">
        <f aca="false">((-(Y8+Y10+Y14+Y16+Y18))-(-(X8+X10+X14+X16+X18)))*Assumptions!$B$27/Assumptions!$B$29</f>
        <v>2068.84617995642</v>
      </c>
      <c r="Z37" s="35" t="n">
        <f aca="false">((-(Z8+Z10+Z14+Z16+Z18))-(-(Y8+Y10+Y14+Y16+Y18)))*Assumptions!$B$27/Assumptions!$B$29</f>
        <v>2078.32594248254</v>
      </c>
    </row>
    <row r="38" customFormat="false" ht="15" hidden="false" customHeight="false" outlineLevel="0" collapsed="false">
      <c r="A38" s="11" t="s">
        <v>539</v>
      </c>
      <c r="C38" s="35" t="n">
        <f aca="false">0</f>
        <v>0</v>
      </c>
      <c r="D38" s="35" t="n">
        <f aca="false">-((-D8)-(-C8))*Assumptions!$B$28/Assumptions!$B$29</f>
        <v>-0</v>
      </c>
      <c r="E38" s="35" t="n">
        <f aca="false">-((-E8)-(-D8))*Assumptions!$B$28/Assumptions!$B$29</f>
        <v>-0</v>
      </c>
      <c r="F38" s="35" t="n">
        <f aca="false">-((-F8)-(-E8))*Assumptions!$B$28/Assumptions!$B$29</f>
        <v>-0</v>
      </c>
      <c r="G38" s="35" t="n">
        <f aca="false">-((-G8)-(-F8))*Assumptions!$B$28/Assumptions!$B$29</f>
        <v>-0</v>
      </c>
      <c r="H38" s="35" t="n">
        <f aca="false">-((-H8)-(-G8))*Assumptions!$B$28/Assumptions!$B$29</f>
        <v>-0</v>
      </c>
      <c r="I38" s="35" t="n">
        <f aca="false">-((-I8)-(-H8))*Assumptions!$B$28/Assumptions!$B$29</f>
        <v>-0</v>
      </c>
      <c r="J38" s="35" t="n">
        <f aca="false">-((-J8)-(-I8))*Assumptions!$B$28/Assumptions!$B$29</f>
        <v>-0</v>
      </c>
      <c r="K38" s="35" t="n">
        <f aca="false">-((-K8)-(-J8))*Assumptions!$B$28/Assumptions!$B$29</f>
        <v>-0</v>
      </c>
      <c r="L38" s="35" t="n">
        <f aca="false">-((-L8)-(-K8))*Assumptions!$B$28/Assumptions!$B$29</f>
        <v>-0</v>
      </c>
      <c r="M38" s="35" t="n">
        <f aca="false">-((-M8)-(-L8))*Assumptions!$B$28/Assumptions!$B$29</f>
        <v>-0</v>
      </c>
      <c r="N38" s="35" t="n">
        <f aca="false">-((-N8)-(-M8))*Assumptions!$B$28/Assumptions!$B$29</f>
        <v>-0</v>
      </c>
      <c r="O38" s="35" t="n">
        <f aca="false">-((-O8)-(-N8))*Assumptions!$B$28/Assumptions!$B$29</f>
        <v>-0</v>
      </c>
      <c r="P38" s="35" t="n">
        <f aca="false">-((-P8)-(-O8))*Assumptions!$B$28/Assumptions!$B$29</f>
        <v>-0</v>
      </c>
      <c r="Q38" s="35" t="n">
        <f aca="false">-((-Q8)-(-P8))*Assumptions!$B$28/Assumptions!$B$29</f>
        <v>-0</v>
      </c>
      <c r="R38" s="35" t="n">
        <f aca="false">-((-R8)-(-Q8))*Assumptions!$B$28/Assumptions!$B$29</f>
        <v>-0</v>
      </c>
      <c r="S38" s="35" t="n">
        <f aca="false">-((-S8)-(-R8))*Assumptions!$B$28/Assumptions!$B$29</f>
        <v>-0</v>
      </c>
      <c r="T38" s="35" t="n">
        <f aca="false">-((-T8)-(-S8))*Assumptions!$B$28/Assumptions!$B$29</f>
        <v>-0</v>
      </c>
      <c r="U38" s="35" t="n">
        <f aca="false">-((-U8)-(-T8))*Assumptions!$B$28/Assumptions!$B$29</f>
        <v>-0</v>
      </c>
      <c r="V38" s="35" t="n">
        <f aca="false">-((-V8)-(-U8))*Assumptions!$B$28/Assumptions!$B$29</f>
        <v>-0</v>
      </c>
      <c r="W38" s="35" t="n">
        <f aca="false">-((-W8)-(-V8))*Assumptions!$B$28/Assumptions!$B$29</f>
        <v>-0</v>
      </c>
      <c r="X38" s="35" t="n">
        <f aca="false">-((-X8)-(-W8))*Assumptions!$B$28/Assumptions!$B$29</f>
        <v>-0</v>
      </c>
      <c r="Y38" s="35" t="n">
        <f aca="false">-((-Y8)-(-X8))*Assumptions!$B$28/Assumptions!$B$29</f>
        <v>-0</v>
      </c>
      <c r="Z38" s="35" t="n">
        <f aca="false">-((-Z8)-(-Y8))*Assumptions!$B$28/Assumptions!$B$29</f>
        <v>-0</v>
      </c>
    </row>
    <row r="39" customFormat="false" ht="15" hidden="false" customHeight="false" outlineLevel="0" collapsed="false">
      <c r="A39" s="6" t="s">
        <v>540</v>
      </c>
      <c r="C39" s="37" t="n">
        <f aca="false">SUM(C34:C38)</f>
        <v>24500</v>
      </c>
      <c r="D39" s="37" t="n">
        <f aca="false">SUM(D34:D38)</f>
        <v>30976.6419042398</v>
      </c>
      <c r="E39" s="37" t="n">
        <f aca="false">SUM(E34:E38)</f>
        <v>4063.39055921051</v>
      </c>
      <c r="F39" s="37" t="n">
        <f aca="false">SUM(F34:F38)</f>
        <v>29700.9136290719</v>
      </c>
      <c r="G39" s="37" t="n">
        <f aca="false">SUM(G34:G38)</f>
        <v>34568.3368030314</v>
      </c>
      <c r="H39" s="37" t="n">
        <f aca="false">SUM(H34:H38)</f>
        <v>39438.7024689037</v>
      </c>
      <c r="I39" s="37" t="n">
        <f aca="false">SUM(I34:I38)</f>
        <v>41874.5267828607</v>
      </c>
      <c r="J39" s="37" t="n">
        <f aca="false">SUM(J34:J38)</f>
        <v>42340.4093189872</v>
      </c>
      <c r="K39" s="37" t="n">
        <f aca="false">SUM(K34:K38)</f>
        <v>42809.2830697198</v>
      </c>
      <c r="L39" s="37" t="n">
        <f aca="false">SUM(L34:L38)</f>
        <v>43281.1644462844</v>
      </c>
      <c r="M39" s="37" t="n">
        <f aca="false">SUM(M34:M38)</f>
        <v>43756.0699458057</v>
      </c>
      <c r="N39" s="37" t="n">
        <f aca="false">SUM(N34:N38)</f>
        <v>44234.0161517502</v>
      </c>
      <c r="O39" s="37" t="n">
        <f aca="false">SUM(O34:O38)</f>
        <v>44715.0197343724</v>
      </c>
      <c r="P39" s="37" t="n">
        <f aca="false">SUM(P34:P38)</f>
        <v>45199.0974511634</v>
      </c>
      <c r="Q39" s="37" t="n">
        <f aca="false">SUM(Q34:Q38)</f>
        <v>41279.5994806349</v>
      </c>
      <c r="R39" s="37" t="n">
        <f aca="false">SUM(R34:R38)</f>
        <v>41769.8760894385</v>
      </c>
      <c r="S39" s="37" t="n">
        <f aca="false">SUM(S34:S38)</f>
        <v>42263.2776328217</v>
      </c>
      <c r="T39" s="37" t="n">
        <f aca="false">SUM(T34:T38)</f>
        <v>42759.8212217515</v>
      </c>
      <c r="U39" s="37" t="n">
        <f aca="false">SUM(U34:U38)</f>
        <v>43259.5240567087</v>
      </c>
      <c r="V39" s="37" t="n">
        <f aca="false">SUM(V34:V38)</f>
        <v>43762.4034281497</v>
      </c>
      <c r="W39" s="37" t="n">
        <f aca="false">SUM(W34:W38)</f>
        <v>44268.4767169717</v>
      </c>
      <c r="X39" s="37" t="n">
        <f aca="false">SUM(X34:X38)</f>
        <v>44777.7613949795</v>
      </c>
      <c r="Y39" s="37" t="n">
        <f aca="false">SUM(Y34:Y38)</f>
        <v>45290.2750253562</v>
      </c>
      <c r="Z39" s="37" t="n">
        <f aca="false">SUM(Z34:Z38)</f>
        <v>45806.0352631342</v>
      </c>
    </row>
    <row r="41" customFormat="false" ht="15" hidden="false" customHeight="false" outlineLevel="0" collapsed="false">
      <c r="A41" s="11" t="s">
        <v>541</v>
      </c>
      <c r="C41" s="38" t="n">
        <f aca="false">-'Initiative Cash Flows'!C72</f>
        <v>-0</v>
      </c>
      <c r="D41" s="38" t="n">
        <f aca="false">-'Initiative Cash Flows'!D72</f>
        <v>-0</v>
      </c>
      <c r="E41" s="38" t="n">
        <f aca="false">-'Initiative Cash Flows'!E72</f>
        <v>-42304</v>
      </c>
      <c r="F41" s="38" t="n">
        <f aca="false">-'Initiative Cash Flows'!F72</f>
        <v>-0</v>
      </c>
      <c r="G41" s="38" t="n">
        <f aca="false">-'Initiative Cash Flows'!G72</f>
        <v>-0</v>
      </c>
      <c r="H41" s="38" t="n">
        <f aca="false">-'Initiative Cash Flows'!H72</f>
        <v>-0</v>
      </c>
      <c r="I41" s="38" t="n">
        <f aca="false">-'Initiative Cash Flows'!I72</f>
        <v>-0</v>
      </c>
      <c r="J41" s="38" t="n">
        <f aca="false">-'Initiative Cash Flows'!J72</f>
        <v>-0</v>
      </c>
      <c r="K41" s="38" t="n">
        <f aca="false">-'Initiative Cash Flows'!K72</f>
        <v>-0</v>
      </c>
      <c r="L41" s="38" t="n">
        <f aca="false">-'Initiative Cash Flows'!L72</f>
        <v>-0</v>
      </c>
      <c r="M41" s="38" t="n">
        <f aca="false">-'Initiative Cash Flows'!M72</f>
        <v>-0</v>
      </c>
      <c r="N41" s="38" t="n">
        <f aca="false">-'Initiative Cash Flows'!N72</f>
        <v>-0</v>
      </c>
      <c r="O41" s="38" t="n">
        <f aca="false">-'Initiative Cash Flows'!O72</f>
        <v>-0</v>
      </c>
      <c r="P41" s="38" t="n">
        <f aca="false">-'Initiative Cash Flows'!P72</f>
        <v>-0</v>
      </c>
      <c r="Q41" s="38" t="n">
        <f aca="false">-'Initiative Cash Flows'!Q72</f>
        <v>-0</v>
      </c>
      <c r="R41" s="38" t="n">
        <f aca="false">-'Initiative Cash Flows'!R72</f>
        <v>-0</v>
      </c>
      <c r="S41" s="38" t="n">
        <f aca="false">-'Initiative Cash Flows'!S72</f>
        <v>-0</v>
      </c>
      <c r="T41" s="38" t="n">
        <f aca="false">-'Initiative Cash Flows'!T72</f>
        <v>-0</v>
      </c>
      <c r="U41" s="38" t="n">
        <f aca="false">-'Initiative Cash Flows'!U72</f>
        <v>-0</v>
      </c>
      <c r="V41" s="38" t="n">
        <f aca="false">-'Initiative Cash Flows'!V72</f>
        <v>-0</v>
      </c>
      <c r="W41" s="38" t="n">
        <f aca="false">-'Initiative Cash Flows'!W72</f>
        <v>-0</v>
      </c>
      <c r="X41" s="38" t="n">
        <f aca="false">-'Initiative Cash Flows'!X72</f>
        <v>-0</v>
      </c>
      <c r="Y41" s="38" t="n">
        <f aca="false">-'Initiative Cash Flows'!Y72</f>
        <v>-0</v>
      </c>
      <c r="Z41" s="38" t="n">
        <f aca="false">-'Initiative Cash Flows'!Z72</f>
        <v>-0</v>
      </c>
    </row>
    <row r="42" customFormat="false" ht="15" hidden="false" customHeight="false" outlineLevel="0" collapsed="false">
      <c r="A42" s="6" t="s">
        <v>542</v>
      </c>
      <c r="C42" s="37" t="n">
        <f aca="false">C41</f>
        <v>-0</v>
      </c>
      <c r="D42" s="37" t="n">
        <f aca="false">D41</f>
        <v>-0</v>
      </c>
      <c r="E42" s="37" t="n">
        <f aca="false">E41</f>
        <v>-42304</v>
      </c>
      <c r="F42" s="37" t="n">
        <f aca="false">F41</f>
        <v>-0</v>
      </c>
      <c r="G42" s="37" t="n">
        <f aca="false">G41</f>
        <v>-0</v>
      </c>
      <c r="H42" s="37" t="n">
        <f aca="false">H41</f>
        <v>-0</v>
      </c>
      <c r="I42" s="37" t="n">
        <f aca="false">I41</f>
        <v>-0</v>
      </c>
      <c r="J42" s="37" t="n">
        <f aca="false">J41</f>
        <v>-0</v>
      </c>
      <c r="K42" s="37" t="n">
        <f aca="false">K41</f>
        <v>-0</v>
      </c>
      <c r="L42" s="37" t="n">
        <f aca="false">L41</f>
        <v>-0</v>
      </c>
      <c r="M42" s="37" t="n">
        <f aca="false">M41</f>
        <v>-0</v>
      </c>
      <c r="N42" s="37" t="n">
        <f aca="false">N41</f>
        <v>-0</v>
      </c>
      <c r="O42" s="37" t="n">
        <f aca="false">O41</f>
        <v>-0</v>
      </c>
      <c r="P42" s="37" t="n">
        <f aca="false">P41</f>
        <v>-0</v>
      </c>
      <c r="Q42" s="37" t="n">
        <f aca="false">Q41</f>
        <v>-0</v>
      </c>
      <c r="R42" s="37" t="n">
        <f aca="false">R41</f>
        <v>-0</v>
      </c>
      <c r="S42" s="37" t="n">
        <f aca="false">S41</f>
        <v>-0</v>
      </c>
      <c r="T42" s="37" t="n">
        <f aca="false">T41</f>
        <v>-0</v>
      </c>
      <c r="U42" s="37" t="n">
        <f aca="false">U41</f>
        <v>-0</v>
      </c>
      <c r="V42" s="37" t="n">
        <f aca="false">V41</f>
        <v>-0</v>
      </c>
      <c r="W42" s="37" t="n">
        <f aca="false">W41</f>
        <v>-0</v>
      </c>
      <c r="X42" s="37" t="n">
        <f aca="false">X41</f>
        <v>-0</v>
      </c>
      <c r="Y42" s="37" t="n">
        <f aca="false">Y41</f>
        <v>-0</v>
      </c>
      <c r="Z42" s="37" t="n">
        <f aca="false">Z41</f>
        <v>-0</v>
      </c>
    </row>
    <row r="44" customFormat="false" ht="15" hidden="false" customHeight="false" outlineLevel="0" collapsed="false">
      <c r="A44" s="11" t="s">
        <v>543</v>
      </c>
      <c r="C44" s="38" t="n">
        <f aca="false">'Initiative Cash Flows'!C73</f>
        <v>0</v>
      </c>
      <c r="D44" s="38" t="n">
        <f aca="false">'Initiative Cash Flows'!D73</f>
        <v>0</v>
      </c>
      <c r="E44" s="38" t="n">
        <f aca="false">'Initiative Cash Flows'!E73</f>
        <v>169216</v>
      </c>
      <c r="F44" s="38" t="n">
        <f aca="false">'Initiative Cash Flows'!F73</f>
        <v>0</v>
      </c>
      <c r="G44" s="38" t="n">
        <f aca="false">'Initiative Cash Flows'!G73</f>
        <v>0</v>
      </c>
      <c r="H44" s="38" t="n">
        <f aca="false">'Initiative Cash Flows'!H73</f>
        <v>0</v>
      </c>
      <c r="I44" s="38" t="n">
        <f aca="false">'Initiative Cash Flows'!I73</f>
        <v>0</v>
      </c>
      <c r="J44" s="38" t="n">
        <f aca="false">'Initiative Cash Flows'!J73</f>
        <v>0</v>
      </c>
      <c r="K44" s="38" t="n">
        <f aca="false">'Initiative Cash Flows'!K73</f>
        <v>0</v>
      </c>
      <c r="L44" s="38" t="n">
        <f aca="false">'Initiative Cash Flows'!L73</f>
        <v>0</v>
      </c>
      <c r="M44" s="38" t="n">
        <f aca="false">'Initiative Cash Flows'!M73</f>
        <v>0</v>
      </c>
      <c r="N44" s="38" t="n">
        <f aca="false">'Initiative Cash Flows'!N73</f>
        <v>0</v>
      </c>
      <c r="O44" s="38" t="n">
        <f aca="false">'Initiative Cash Flows'!O73</f>
        <v>0</v>
      </c>
      <c r="P44" s="38" t="n">
        <f aca="false">'Initiative Cash Flows'!P73</f>
        <v>0</v>
      </c>
      <c r="Q44" s="38" t="n">
        <f aca="false">'Initiative Cash Flows'!Q73</f>
        <v>0</v>
      </c>
      <c r="R44" s="38" t="n">
        <f aca="false">'Initiative Cash Flows'!R73</f>
        <v>0</v>
      </c>
      <c r="S44" s="38" t="n">
        <f aca="false">'Initiative Cash Flows'!S73</f>
        <v>0</v>
      </c>
      <c r="T44" s="38" t="n">
        <f aca="false">'Initiative Cash Flows'!T73</f>
        <v>0</v>
      </c>
      <c r="U44" s="38" t="n">
        <f aca="false">'Initiative Cash Flows'!U73</f>
        <v>0</v>
      </c>
      <c r="V44" s="38" t="n">
        <f aca="false">'Initiative Cash Flows'!V73</f>
        <v>0</v>
      </c>
      <c r="W44" s="38" t="n">
        <f aca="false">'Initiative Cash Flows'!W73</f>
        <v>0</v>
      </c>
      <c r="X44" s="38" t="n">
        <f aca="false">'Initiative Cash Flows'!X73</f>
        <v>0</v>
      </c>
      <c r="Y44" s="38" t="n">
        <f aca="false">'Initiative Cash Flows'!Y73</f>
        <v>0</v>
      </c>
      <c r="Z44" s="38" t="n">
        <f aca="false">'Initiative Cash Flows'!Z73</f>
        <v>0</v>
      </c>
    </row>
    <row r="45" customFormat="false" ht="15" hidden="false" customHeight="false" outlineLevel="0" collapsed="false">
      <c r="A45" s="11" t="s">
        <v>544</v>
      </c>
      <c r="C45" s="38" t="n">
        <f aca="false">-'Initiative Cash Flows'!C76</f>
        <v>-0</v>
      </c>
      <c r="D45" s="38" t="n">
        <f aca="false">-'Initiative Cash Flows'!D76</f>
        <v>-0</v>
      </c>
      <c r="E45" s="38" t="n">
        <f aca="false">-'Initiative Cash Flows'!E76</f>
        <v>-2273.11203170497</v>
      </c>
      <c r="F45" s="38" t="n">
        <f aca="false">-'Initiative Cash Flows'!F76</f>
        <v>-2289.21324192955</v>
      </c>
      <c r="G45" s="38" t="n">
        <f aca="false">-'Initiative Cash Flows'!G76</f>
        <v>-2305.42850239322</v>
      </c>
      <c r="H45" s="38" t="n">
        <f aca="false">-'Initiative Cash Flows'!H76</f>
        <v>-2321.75862095183</v>
      </c>
      <c r="I45" s="38" t="n">
        <f aca="false">-'Initiative Cash Flows'!I76</f>
        <v>-2338.20441118358</v>
      </c>
      <c r="J45" s="38" t="n">
        <f aca="false">-'Initiative Cash Flows'!J76</f>
        <v>-2354.76669242946</v>
      </c>
      <c r="K45" s="38" t="n">
        <f aca="false">-'Initiative Cash Flows'!K76</f>
        <v>-2371.44628983417</v>
      </c>
      <c r="L45" s="38" t="n">
        <f aca="false">-'Initiative Cash Flows'!L76</f>
        <v>-2388.24403438716</v>
      </c>
      <c r="M45" s="38" t="n">
        <f aca="false">-'Initiative Cash Flows'!M76</f>
        <v>-2405.16076296407</v>
      </c>
      <c r="N45" s="38" t="n">
        <f aca="false">-'Initiative Cash Flows'!N76</f>
        <v>-2422.1973183684</v>
      </c>
      <c r="O45" s="38" t="n">
        <f aca="false">-'Initiative Cash Flows'!O76</f>
        <v>-2439.35454937351</v>
      </c>
      <c r="P45" s="38" t="n">
        <f aca="false">-'Initiative Cash Flows'!P76</f>
        <v>-2456.6333107649</v>
      </c>
      <c r="Q45" s="38" t="n">
        <f aca="false">-'Initiative Cash Flows'!Q76</f>
        <v>-2474.03446338282</v>
      </c>
      <c r="R45" s="38" t="n">
        <f aca="false">-'Initiative Cash Flows'!R76</f>
        <v>-2491.55887416512</v>
      </c>
      <c r="S45" s="38" t="n">
        <f aca="false">-'Initiative Cash Flows'!S76</f>
        <v>-2509.20741619045</v>
      </c>
      <c r="T45" s="38" t="n">
        <f aca="false">-'Initiative Cash Flows'!T76</f>
        <v>-2526.9809687218</v>
      </c>
      <c r="U45" s="38" t="n">
        <f aca="false">-'Initiative Cash Flows'!U76</f>
        <v>-2544.88041725025</v>
      </c>
      <c r="V45" s="38" t="n">
        <f aca="false">-'Initiative Cash Flows'!V76</f>
        <v>-2562.9066535391</v>
      </c>
      <c r="W45" s="38" t="n">
        <f aca="false">-'Initiative Cash Flows'!W76</f>
        <v>-2581.06057566834</v>
      </c>
      <c r="X45" s="38" t="n">
        <f aca="false">-'Initiative Cash Flows'!X76</f>
        <v>-2599.34308807932</v>
      </c>
      <c r="Y45" s="38" t="n">
        <f aca="false">-'Initiative Cash Flows'!Y76</f>
        <v>-2617.75510161989</v>
      </c>
      <c r="Z45" s="38" t="n">
        <f aca="false">-'Initiative Cash Flows'!Z76</f>
        <v>-2636.29753358969</v>
      </c>
    </row>
    <row r="46" customFormat="false" ht="15" hidden="false" customHeight="false" outlineLevel="0" collapsed="false">
      <c r="A46" s="11" t="s">
        <v>545</v>
      </c>
      <c r="C46" s="35" t="n">
        <f aca="false">-Assumptions!$B$22</f>
        <v>-7000</v>
      </c>
      <c r="D46" s="35" t="n">
        <f aca="false">-Assumptions!$B$22</f>
        <v>-7000</v>
      </c>
      <c r="E46" s="35" t="n">
        <f aca="false">-Assumptions!$B$22</f>
        <v>-7000</v>
      </c>
      <c r="F46" s="35" t="n">
        <f aca="false">-Assumptions!$B$22</f>
        <v>-7000</v>
      </c>
      <c r="G46" s="35" t="n">
        <f aca="false">-Assumptions!$B$22</f>
        <v>-7000</v>
      </c>
      <c r="H46" s="35" t="n">
        <f aca="false">-Assumptions!$B$22</f>
        <v>-7000</v>
      </c>
      <c r="I46" s="35" t="n">
        <f aca="false">-Assumptions!$B$22</f>
        <v>-7000</v>
      </c>
      <c r="J46" s="35" t="n">
        <f aca="false">-Assumptions!$B$22</f>
        <v>-7000</v>
      </c>
      <c r="K46" s="35" t="n">
        <f aca="false">-Assumptions!$B$22</f>
        <v>-7000</v>
      </c>
      <c r="L46" s="35" t="n">
        <f aca="false">-Assumptions!$B$22</f>
        <v>-7000</v>
      </c>
      <c r="M46" s="35" t="n">
        <f aca="false">-Assumptions!$B$22</f>
        <v>-7000</v>
      </c>
      <c r="N46" s="35" t="n">
        <f aca="false">-Assumptions!$B$22</f>
        <v>-7000</v>
      </c>
      <c r="O46" s="35" t="n">
        <f aca="false">-Assumptions!$B$22</f>
        <v>-7000</v>
      </c>
      <c r="P46" s="35" t="n">
        <f aca="false">-Assumptions!$B$22</f>
        <v>-7000</v>
      </c>
      <c r="Q46" s="35" t="n">
        <f aca="false">-Assumptions!$B$22</f>
        <v>-7000</v>
      </c>
      <c r="R46" s="35" t="n">
        <f aca="false">-Assumptions!$B$22</f>
        <v>-7000</v>
      </c>
      <c r="S46" s="35" t="n">
        <f aca="false">-Assumptions!$B$22</f>
        <v>-7000</v>
      </c>
      <c r="T46" s="35" t="n">
        <f aca="false">-Assumptions!$B$22</f>
        <v>-7000</v>
      </c>
      <c r="U46" s="35" t="n">
        <f aca="false">-Assumptions!$B$22</f>
        <v>-7000</v>
      </c>
      <c r="V46" s="35" t="n">
        <f aca="false">-Assumptions!$B$22</f>
        <v>-7000</v>
      </c>
      <c r="W46" s="35" t="n">
        <f aca="false">-Assumptions!$B$22</f>
        <v>-7000</v>
      </c>
      <c r="X46" s="35" t="n">
        <f aca="false">-Assumptions!$B$22</f>
        <v>-7000</v>
      </c>
      <c r="Y46" s="35" t="n">
        <f aca="false">-Assumptions!$B$22</f>
        <v>-7000</v>
      </c>
      <c r="Z46" s="35" t="n">
        <f aca="false">-Assumptions!$B$22</f>
        <v>-7000</v>
      </c>
    </row>
    <row r="47" customFormat="false" ht="15" hidden="false" customHeight="false" outlineLevel="0" collapsed="false">
      <c r="A47" s="11" t="s">
        <v>546</v>
      </c>
      <c r="C47" s="40" t="n">
        <v>0</v>
      </c>
      <c r="D47" s="40" t="n">
        <v>0</v>
      </c>
      <c r="E47" s="40" t="n">
        <v>0</v>
      </c>
      <c r="F47" s="40" t="n">
        <v>0</v>
      </c>
      <c r="G47" s="40" t="n">
        <v>0</v>
      </c>
      <c r="H47" s="40" t="n">
        <v>0</v>
      </c>
      <c r="I47" s="40" t="n">
        <v>0</v>
      </c>
      <c r="J47" s="40" t="n">
        <v>0</v>
      </c>
      <c r="K47" s="40" t="n">
        <v>0</v>
      </c>
      <c r="L47" s="40" t="n">
        <v>0</v>
      </c>
      <c r="M47" s="40" t="n">
        <v>0</v>
      </c>
      <c r="N47" s="40" t="n">
        <v>0</v>
      </c>
      <c r="O47" s="40" t="n">
        <v>0</v>
      </c>
      <c r="P47" s="40" t="n">
        <v>0</v>
      </c>
      <c r="Q47" s="40" t="n">
        <v>0</v>
      </c>
      <c r="R47" s="40" t="n">
        <v>0</v>
      </c>
      <c r="S47" s="40" t="n">
        <v>0</v>
      </c>
      <c r="T47" s="40" t="n">
        <v>0</v>
      </c>
      <c r="U47" s="40" t="n">
        <v>0</v>
      </c>
      <c r="V47" s="40" t="n">
        <v>0</v>
      </c>
      <c r="W47" s="40" t="n">
        <v>0</v>
      </c>
      <c r="X47" s="40" t="n">
        <v>0</v>
      </c>
      <c r="Y47" s="40" t="n">
        <v>0</v>
      </c>
      <c r="Z47" s="40" t="n">
        <v>0</v>
      </c>
    </row>
    <row r="48" customFormat="false" ht="15" hidden="false" customHeight="false" outlineLevel="0" collapsed="false">
      <c r="A48" s="6" t="s">
        <v>547</v>
      </c>
      <c r="C48" s="37" t="n">
        <f aca="false">SUM(C44:C47)</f>
        <v>-7000</v>
      </c>
      <c r="D48" s="37" t="n">
        <f aca="false">SUM(D44:D47)</f>
        <v>-7000</v>
      </c>
      <c r="E48" s="37" t="n">
        <f aca="false">SUM(E44:E47)</f>
        <v>159942.887968295</v>
      </c>
      <c r="F48" s="37" t="n">
        <f aca="false">SUM(F44:F47)</f>
        <v>-9289.21324192955</v>
      </c>
      <c r="G48" s="37" t="n">
        <f aca="false">SUM(G44:G47)</f>
        <v>-9305.42850239322</v>
      </c>
      <c r="H48" s="37" t="n">
        <f aca="false">SUM(H44:H47)</f>
        <v>-9321.75862095183</v>
      </c>
      <c r="I48" s="37" t="n">
        <f aca="false">SUM(I44:I47)</f>
        <v>-9338.20441118358</v>
      </c>
      <c r="J48" s="37" t="n">
        <f aca="false">SUM(J44:J47)</f>
        <v>-9354.76669242946</v>
      </c>
      <c r="K48" s="37" t="n">
        <f aca="false">SUM(K44:K47)</f>
        <v>-9371.44628983417</v>
      </c>
      <c r="L48" s="37" t="n">
        <f aca="false">SUM(L44:L47)</f>
        <v>-9388.24403438716</v>
      </c>
      <c r="M48" s="37" t="n">
        <f aca="false">SUM(M44:M47)</f>
        <v>-9405.16076296407</v>
      </c>
      <c r="N48" s="37" t="n">
        <f aca="false">SUM(N44:N47)</f>
        <v>-9422.1973183684</v>
      </c>
      <c r="O48" s="37" t="n">
        <f aca="false">SUM(O44:O47)</f>
        <v>-9439.35454937351</v>
      </c>
      <c r="P48" s="37" t="n">
        <f aca="false">SUM(P44:P47)</f>
        <v>-9456.6333107649</v>
      </c>
      <c r="Q48" s="37" t="n">
        <f aca="false">SUM(Q44:Q47)</f>
        <v>-9474.03446338282</v>
      </c>
      <c r="R48" s="37" t="n">
        <f aca="false">SUM(R44:R47)</f>
        <v>-9491.55887416512</v>
      </c>
      <c r="S48" s="37" t="n">
        <f aca="false">SUM(S44:S47)</f>
        <v>-9509.20741619045</v>
      </c>
      <c r="T48" s="37" t="n">
        <f aca="false">SUM(T44:T47)</f>
        <v>-9526.9809687218</v>
      </c>
      <c r="U48" s="37" t="n">
        <f aca="false">SUM(U44:U47)</f>
        <v>-9544.88041725025</v>
      </c>
      <c r="V48" s="37" t="n">
        <f aca="false">SUM(V44:V47)</f>
        <v>-9562.9066535391</v>
      </c>
      <c r="W48" s="37" t="n">
        <f aca="false">SUM(W44:W47)</f>
        <v>-9581.06057566834</v>
      </c>
      <c r="X48" s="37" t="n">
        <f aca="false">SUM(X44:X47)</f>
        <v>-9599.34308807932</v>
      </c>
      <c r="Y48" s="37" t="n">
        <f aca="false">SUM(Y44:Y47)</f>
        <v>-9617.75510161989</v>
      </c>
      <c r="Z48" s="37" t="n">
        <f aca="false">SUM(Z44:Z47)</f>
        <v>-9636.29753358969</v>
      </c>
    </row>
    <row r="50" customFormat="false" ht="15" hidden="false" customHeight="false" outlineLevel="0" collapsed="false">
      <c r="A50" s="6" t="s">
        <v>548</v>
      </c>
      <c r="C50" s="37" t="n">
        <f aca="false">C39+C42+C48</f>
        <v>17500</v>
      </c>
      <c r="D50" s="37" t="n">
        <f aca="false">D39+D42+D48</f>
        <v>23976.6419042398</v>
      </c>
      <c r="E50" s="37" t="n">
        <f aca="false">E39+E42+E48</f>
        <v>121702.278527506</v>
      </c>
      <c r="F50" s="37" t="n">
        <f aca="false">F39+F42+F48</f>
        <v>20411.7003871424</v>
      </c>
      <c r="G50" s="37" t="n">
        <f aca="false">G39+G42+G48</f>
        <v>25262.9083006381</v>
      </c>
      <c r="H50" s="37" t="n">
        <f aca="false">H39+H42+H48</f>
        <v>30116.9438479519</v>
      </c>
      <c r="I50" s="37" t="n">
        <f aca="false">I39+I42+I48</f>
        <v>32536.3223716771</v>
      </c>
      <c r="J50" s="37" t="n">
        <f aca="false">J39+J42+J48</f>
        <v>32985.6426265577</v>
      </c>
      <c r="K50" s="37" t="n">
        <f aca="false">K39+K42+K48</f>
        <v>33437.8367798856</v>
      </c>
      <c r="L50" s="37" t="n">
        <f aca="false">L39+L42+L48</f>
        <v>33892.9204118973</v>
      </c>
      <c r="M50" s="37" t="n">
        <f aca="false">M39+M42+M48</f>
        <v>34350.9091828416</v>
      </c>
      <c r="N50" s="37" t="n">
        <f aca="false">N39+N42+N48</f>
        <v>34811.8188333818</v>
      </c>
      <c r="O50" s="37" t="n">
        <f aca="false">O39+O42+O48</f>
        <v>35275.6651849989</v>
      </c>
      <c r="P50" s="37" t="n">
        <f aca="false">P39+P42+P48</f>
        <v>35742.4641403985</v>
      </c>
      <c r="Q50" s="37" t="n">
        <f aca="false">Q39+Q42+Q48</f>
        <v>31805.5650172521</v>
      </c>
      <c r="R50" s="37" t="n">
        <f aca="false">R39+R42+R48</f>
        <v>32278.3172152734</v>
      </c>
      <c r="S50" s="37" t="n">
        <f aca="false">S39+S42+S48</f>
        <v>32754.0702166312</v>
      </c>
      <c r="T50" s="37" t="n">
        <f aca="false">T39+T42+T48</f>
        <v>33232.8402530297</v>
      </c>
      <c r="U50" s="37" t="n">
        <f aca="false">U39+U42+U48</f>
        <v>33714.6436394584</v>
      </c>
      <c r="V50" s="37" t="n">
        <f aca="false">V39+V42+V48</f>
        <v>34199.4967746106</v>
      </c>
      <c r="W50" s="37" t="n">
        <f aca="false">W39+W42+W48</f>
        <v>34687.4161413034</v>
      </c>
      <c r="X50" s="37" t="n">
        <f aca="false">X39+X42+X48</f>
        <v>35178.4183069001</v>
      </c>
      <c r="Y50" s="37" t="n">
        <f aca="false">Y39+Y42+Y48</f>
        <v>35672.5199237363</v>
      </c>
      <c r="Z50" s="37" t="n">
        <f aca="false">Z39+Z42+Z48</f>
        <v>36169.7377295445</v>
      </c>
    </row>
    <row r="51" customFormat="false" ht="15" hidden="false" customHeight="false" outlineLevel="0" collapsed="false">
      <c r="A51" s="11" t="s">
        <v>549</v>
      </c>
      <c r="C51" s="35" t="n">
        <f aca="false">Assumptions!$B$19</f>
        <v>250000</v>
      </c>
      <c r="D51" s="35" t="n">
        <f aca="false">C52</f>
        <v>267500</v>
      </c>
      <c r="E51" s="35" t="n">
        <f aca="false">D52</f>
        <v>291476.64190424</v>
      </c>
      <c r="F51" s="35" t="n">
        <f aca="false">E52</f>
        <v>413178.920431745</v>
      </c>
      <c r="G51" s="35" t="n">
        <f aca="false">F52</f>
        <v>433590.620818888</v>
      </c>
      <c r="H51" s="35" t="n">
        <f aca="false">G52</f>
        <v>458853.529119526</v>
      </c>
      <c r="I51" s="35" t="n">
        <f aca="false">H52</f>
        <v>488970.472967478</v>
      </c>
      <c r="J51" s="35" t="n">
        <f aca="false">I52</f>
        <v>521506.795339155</v>
      </c>
      <c r="K51" s="35" t="n">
        <f aca="false">J52</f>
        <v>554492.437965713</v>
      </c>
      <c r="L51" s="35" t="n">
        <f aca="false">K52</f>
        <v>587930.274745598</v>
      </c>
      <c r="M51" s="35" t="n">
        <f aca="false">L52</f>
        <v>621823.195157495</v>
      </c>
      <c r="N51" s="35" t="n">
        <f aca="false">M52</f>
        <v>656174.104340337</v>
      </c>
      <c r="O51" s="35" t="n">
        <f aca="false">N52</f>
        <v>690985.923173719</v>
      </c>
      <c r="P51" s="35" t="n">
        <f aca="false">O52</f>
        <v>726261.588358718</v>
      </c>
      <c r="Q51" s="35" t="n">
        <f aca="false">P52</f>
        <v>762004.052499116</v>
      </c>
      <c r="R51" s="35" t="n">
        <f aca="false">Q52</f>
        <v>793809.617516368</v>
      </c>
      <c r="S51" s="35" t="n">
        <f aca="false">R52</f>
        <v>826087.934731642</v>
      </c>
      <c r="T51" s="35" t="n">
        <f aca="false">S52</f>
        <v>858842.004948273</v>
      </c>
      <c r="U51" s="35" t="n">
        <f aca="false">T52</f>
        <v>892074.845201302</v>
      </c>
      <c r="V51" s="35" t="n">
        <f aca="false">U52</f>
        <v>925789.488840761</v>
      </c>
      <c r="W51" s="35" t="n">
        <f aca="false">V52</f>
        <v>959988.985615372</v>
      </c>
      <c r="X51" s="35" t="n">
        <f aca="false">W52</f>
        <v>994676.401756675</v>
      </c>
      <c r="Y51" s="35" t="n">
        <f aca="false">X52</f>
        <v>1029854.82006358</v>
      </c>
      <c r="Z51" s="35" t="n">
        <f aca="false">Y52</f>
        <v>1065527.33998731</v>
      </c>
    </row>
    <row r="52" customFormat="false" ht="15" hidden="false" customHeight="false" outlineLevel="0" collapsed="false">
      <c r="A52" s="6" t="s">
        <v>550</v>
      </c>
      <c r="C52" s="37" t="n">
        <f aca="false">C51+C50</f>
        <v>267500</v>
      </c>
      <c r="D52" s="37" t="n">
        <f aca="false">D51+D50</f>
        <v>291476.64190424</v>
      </c>
      <c r="E52" s="37" t="n">
        <f aca="false">E51+E50</f>
        <v>413178.920431745</v>
      </c>
      <c r="F52" s="37" t="n">
        <f aca="false">F51+F50</f>
        <v>433590.620818888</v>
      </c>
      <c r="G52" s="37" t="n">
        <f aca="false">G51+G50</f>
        <v>458853.529119526</v>
      </c>
      <c r="H52" s="37" t="n">
        <f aca="false">H51+H50</f>
        <v>488970.472967478</v>
      </c>
      <c r="I52" s="37" t="n">
        <f aca="false">I51+I50</f>
        <v>521506.795339155</v>
      </c>
      <c r="J52" s="37" t="n">
        <f aca="false">J51+J50</f>
        <v>554492.437965713</v>
      </c>
      <c r="K52" s="37" t="n">
        <f aca="false">K51+K50</f>
        <v>587930.274745598</v>
      </c>
      <c r="L52" s="37" t="n">
        <f aca="false">L51+L50</f>
        <v>621823.195157495</v>
      </c>
      <c r="M52" s="37" t="n">
        <f aca="false">M51+M50</f>
        <v>656174.104340337</v>
      </c>
      <c r="N52" s="37" t="n">
        <f aca="false">N51+N50</f>
        <v>690985.923173719</v>
      </c>
      <c r="O52" s="37" t="n">
        <f aca="false">O51+O50</f>
        <v>726261.588358718</v>
      </c>
      <c r="P52" s="37" t="n">
        <f aca="false">P51+P50</f>
        <v>762004.052499116</v>
      </c>
      <c r="Q52" s="37" t="n">
        <f aca="false">Q51+Q50</f>
        <v>793809.617516368</v>
      </c>
      <c r="R52" s="37" t="n">
        <f aca="false">R51+R50</f>
        <v>826087.934731642</v>
      </c>
      <c r="S52" s="37" t="n">
        <f aca="false">S51+S50</f>
        <v>858842.004948273</v>
      </c>
      <c r="T52" s="37" t="n">
        <f aca="false">T51+T50</f>
        <v>892074.845201302</v>
      </c>
      <c r="U52" s="37" t="n">
        <f aca="false">U51+U50</f>
        <v>925789.488840761</v>
      </c>
      <c r="V52" s="37" t="n">
        <f aca="false">V51+V50</f>
        <v>959988.985615372</v>
      </c>
      <c r="W52" s="37" t="n">
        <f aca="false">W51+W50</f>
        <v>994676.401756675</v>
      </c>
      <c r="X52" s="37" t="n">
        <f aca="false">X51+X50</f>
        <v>1029854.82006358</v>
      </c>
      <c r="Y52" s="37" t="n">
        <f aca="false">Y51+Y50</f>
        <v>1065527.33998731</v>
      </c>
      <c r="Z52" s="37" t="n">
        <f aca="false">Z51+Z50</f>
        <v>1101697.07771686</v>
      </c>
    </row>
    <row r="53" customFormat="false" ht="15" hidden="false" customHeight="false" outlineLevel="0" collapsed="false">
      <c r="A53" s="11" t="s">
        <v>85</v>
      </c>
      <c r="C53" s="35" t="n">
        <f aca="false">Assumptions!$B$20</f>
        <v>150000</v>
      </c>
      <c r="D53" s="35" t="n">
        <f aca="false">Assumptions!$B$20</f>
        <v>150000</v>
      </c>
      <c r="E53" s="35" t="n">
        <f aca="false">Assumptions!$B$20</f>
        <v>150000</v>
      </c>
      <c r="F53" s="35" t="n">
        <f aca="false">Assumptions!$B$20</f>
        <v>150000</v>
      </c>
      <c r="G53" s="35" t="n">
        <f aca="false">Assumptions!$B$20</f>
        <v>150000</v>
      </c>
      <c r="H53" s="35" t="n">
        <f aca="false">Assumptions!$B$20</f>
        <v>150000</v>
      </c>
      <c r="I53" s="35" t="n">
        <f aca="false">Assumptions!$B$20</f>
        <v>150000</v>
      </c>
      <c r="J53" s="35" t="n">
        <f aca="false">Assumptions!$B$20</f>
        <v>150000</v>
      </c>
      <c r="K53" s="35" t="n">
        <f aca="false">Assumptions!$B$20</f>
        <v>150000</v>
      </c>
      <c r="L53" s="35" t="n">
        <f aca="false">Assumptions!$B$20</f>
        <v>150000</v>
      </c>
      <c r="M53" s="35" t="n">
        <f aca="false">Assumptions!$B$20</f>
        <v>150000</v>
      </c>
      <c r="N53" s="35" t="n">
        <f aca="false">Assumptions!$B$20</f>
        <v>150000</v>
      </c>
      <c r="O53" s="35" t="n">
        <f aca="false">Assumptions!$B$20</f>
        <v>150000</v>
      </c>
      <c r="P53" s="35" t="n">
        <f aca="false">Assumptions!$B$20</f>
        <v>150000</v>
      </c>
      <c r="Q53" s="35" t="n">
        <f aca="false">Assumptions!$B$20</f>
        <v>150000</v>
      </c>
      <c r="R53" s="35" t="n">
        <f aca="false">Assumptions!$B$20</f>
        <v>150000</v>
      </c>
      <c r="S53" s="35" t="n">
        <f aca="false">Assumptions!$B$20</f>
        <v>150000</v>
      </c>
      <c r="T53" s="35" t="n">
        <f aca="false">Assumptions!$B$20</f>
        <v>150000</v>
      </c>
      <c r="U53" s="35" t="n">
        <f aca="false">Assumptions!$B$20</f>
        <v>150000</v>
      </c>
      <c r="V53" s="35" t="n">
        <f aca="false">Assumptions!$B$20</f>
        <v>150000</v>
      </c>
      <c r="W53" s="35" t="n">
        <f aca="false">Assumptions!$B$20</f>
        <v>150000</v>
      </c>
      <c r="X53" s="35" t="n">
        <f aca="false">Assumptions!$B$20</f>
        <v>150000</v>
      </c>
      <c r="Y53" s="35" t="n">
        <f aca="false">Assumptions!$B$20</f>
        <v>150000</v>
      </c>
      <c r="Z53" s="35" t="n">
        <f aca="false">Assumptions!$B$20</f>
        <v>150000</v>
      </c>
    </row>
    <row r="54" customFormat="false" ht="15" hidden="false" customHeight="false" outlineLevel="0" collapsed="false">
      <c r="A54" s="6" t="s">
        <v>551</v>
      </c>
      <c r="C54" s="37" t="n">
        <f aca="false">C52-C53</f>
        <v>117500</v>
      </c>
      <c r="D54" s="37" t="n">
        <f aca="false">D52-D53</f>
        <v>141476.64190424</v>
      </c>
      <c r="E54" s="37" t="n">
        <f aca="false">E52-E53</f>
        <v>263178.920431745</v>
      </c>
      <c r="F54" s="37" t="n">
        <f aca="false">F52-F53</f>
        <v>283590.620818888</v>
      </c>
      <c r="G54" s="37" t="n">
        <f aca="false">G52-G53</f>
        <v>308853.529119526</v>
      </c>
      <c r="H54" s="37" t="n">
        <f aca="false">H52-H53</f>
        <v>338970.472967478</v>
      </c>
      <c r="I54" s="37" t="n">
        <f aca="false">I52-I53</f>
        <v>371506.795339155</v>
      </c>
      <c r="J54" s="37" t="n">
        <f aca="false">J52-J53</f>
        <v>404492.437965713</v>
      </c>
      <c r="K54" s="37" t="n">
        <f aca="false">K52-K53</f>
        <v>437930.274745598</v>
      </c>
      <c r="L54" s="37" t="n">
        <f aca="false">L52-L53</f>
        <v>471823.195157495</v>
      </c>
      <c r="M54" s="37" t="n">
        <f aca="false">M52-M53</f>
        <v>506174.104340337</v>
      </c>
      <c r="N54" s="37" t="n">
        <f aca="false">N52-N53</f>
        <v>540985.923173719</v>
      </c>
      <c r="O54" s="37" t="n">
        <f aca="false">O52-O53</f>
        <v>576261.588358718</v>
      </c>
      <c r="P54" s="37" t="n">
        <f aca="false">P52-P53</f>
        <v>612004.052499116</v>
      </c>
      <c r="Q54" s="37" t="n">
        <f aca="false">Q52-Q53</f>
        <v>643809.617516368</v>
      </c>
      <c r="R54" s="37" t="n">
        <f aca="false">R52-R53</f>
        <v>676087.934731642</v>
      </c>
      <c r="S54" s="37" t="n">
        <f aca="false">S52-S53</f>
        <v>708842.004948273</v>
      </c>
      <c r="T54" s="37" t="n">
        <f aca="false">T52-T53</f>
        <v>742074.845201302</v>
      </c>
      <c r="U54" s="37" t="n">
        <f aca="false">U52-U53</f>
        <v>775789.488840761</v>
      </c>
      <c r="V54" s="37" t="n">
        <f aca="false">V52-V53</f>
        <v>809988.985615372</v>
      </c>
      <c r="W54" s="37" t="n">
        <f aca="false">W52-W53</f>
        <v>844676.401756675</v>
      </c>
      <c r="X54" s="37" t="n">
        <f aca="false">X52-X53</f>
        <v>879854.820063575</v>
      </c>
      <c r="Y54" s="37" t="n">
        <f aca="false">Y52-Y53</f>
        <v>915527.339987311</v>
      </c>
      <c r="Z54" s="37" t="n">
        <f aca="false">Z52-Z53</f>
        <v>951697.077716856</v>
      </c>
    </row>
    <row r="55" customFormat="false" ht="15" hidden="false" customHeight="false" outlineLevel="0" collapsed="false">
      <c r="A55" s="11" t="s">
        <v>552</v>
      </c>
      <c r="C55" s="35" t="n">
        <f aca="false">Assumptions!$B$23</f>
        <v>250000</v>
      </c>
      <c r="D55" s="35" t="n">
        <f aca="false">Assumptions!$B$23</f>
        <v>250000</v>
      </c>
      <c r="E55" s="35" t="n">
        <f aca="false">Assumptions!$B$23</f>
        <v>250000</v>
      </c>
      <c r="F55" s="35" t="n">
        <f aca="false">Assumptions!$B$23</f>
        <v>250000</v>
      </c>
      <c r="G55" s="35" t="n">
        <f aca="false">Assumptions!$B$23</f>
        <v>250000</v>
      </c>
      <c r="H55" s="35" t="n">
        <f aca="false">Assumptions!$B$23</f>
        <v>250000</v>
      </c>
      <c r="I55" s="35" t="n">
        <f aca="false">Assumptions!$B$23</f>
        <v>250000</v>
      </c>
      <c r="J55" s="35" t="n">
        <f aca="false">Assumptions!$B$23</f>
        <v>250000</v>
      </c>
      <c r="K55" s="35" t="n">
        <f aca="false">Assumptions!$B$23</f>
        <v>250000</v>
      </c>
      <c r="L55" s="35" t="n">
        <f aca="false">Assumptions!$B$23</f>
        <v>250000</v>
      </c>
      <c r="M55" s="35" t="n">
        <f aca="false">Assumptions!$B$23</f>
        <v>250000</v>
      </c>
      <c r="N55" s="35" t="n">
        <f aca="false">Assumptions!$B$23</f>
        <v>250000</v>
      </c>
      <c r="O55" s="35" t="n">
        <f aca="false">Assumptions!$B$23</f>
        <v>250000</v>
      </c>
      <c r="P55" s="35" t="n">
        <f aca="false">Assumptions!$B$23</f>
        <v>250000</v>
      </c>
      <c r="Q55" s="35" t="n">
        <f aca="false">Assumptions!$B$23</f>
        <v>250000</v>
      </c>
      <c r="R55" s="35" t="n">
        <f aca="false">Assumptions!$B$23</f>
        <v>250000</v>
      </c>
      <c r="S55" s="35" t="n">
        <f aca="false">Assumptions!$B$23</f>
        <v>250000</v>
      </c>
      <c r="T55" s="35" t="n">
        <f aca="false">Assumptions!$B$23</f>
        <v>250000</v>
      </c>
      <c r="U55" s="35" t="n">
        <f aca="false">Assumptions!$B$23</f>
        <v>250000</v>
      </c>
      <c r="V55" s="35" t="n">
        <f aca="false">Assumptions!$B$23</f>
        <v>250000</v>
      </c>
      <c r="W55" s="35" t="n">
        <f aca="false">Assumptions!$B$23</f>
        <v>250000</v>
      </c>
      <c r="X55" s="35" t="n">
        <f aca="false">Assumptions!$B$23</f>
        <v>250000</v>
      </c>
      <c r="Y55" s="35" t="n">
        <f aca="false">Assumptions!$B$23</f>
        <v>250000</v>
      </c>
      <c r="Z55" s="35" t="n">
        <f aca="false">Assumptions!$B$23</f>
        <v>250000</v>
      </c>
    </row>
    <row r="56" customFormat="false" ht="15" hidden="false" customHeight="false" outlineLevel="0" collapsed="false">
      <c r="A56" s="6" t="s">
        <v>553</v>
      </c>
      <c r="C56" s="37" t="n">
        <f aca="false">C52+C55</f>
        <v>517500</v>
      </c>
      <c r="D56" s="37" t="n">
        <f aca="false">D52+D55</f>
        <v>541476.64190424</v>
      </c>
      <c r="E56" s="37" t="n">
        <f aca="false">E52+E55</f>
        <v>663178.920431745</v>
      </c>
      <c r="F56" s="37" t="n">
        <f aca="false">F52+F55</f>
        <v>683590.620818888</v>
      </c>
      <c r="G56" s="37" t="n">
        <f aca="false">G52+G55</f>
        <v>708853.529119526</v>
      </c>
      <c r="H56" s="37" t="n">
        <f aca="false">H52+H55</f>
        <v>738970.472967478</v>
      </c>
      <c r="I56" s="37" t="n">
        <f aca="false">I52+I55</f>
        <v>771506.795339155</v>
      </c>
      <c r="J56" s="37" t="n">
        <f aca="false">J52+J55</f>
        <v>804492.437965713</v>
      </c>
      <c r="K56" s="37" t="n">
        <f aca="false">K52+K55</f>
        <v>837930.274745598</v>
      </c>
      <c r="L56" s="37" t="n">
        <f aca="false">L52+L55</f>
        <v>871823.195157495</v>
      </c>
      <c r="M56" s="37" t="n">
        <f aca="false">M52+M55</f>
        <v>906174.104340337</v>
      </c>
      <c r="N56" s="37" t="n">
        <f aca="false">N52+N55</f>
        <v>940985.923173719</v>
      </c>
      <c r="O56" s="37" t="n">
        <f aca="false">O52+O55</f>
        <v>976261.588358718</v>
      </c>
      <c r="P56" s="37" t="n">
        <f aca="false">P52+P55</f>
        <v>1012004.05249912</v>
      </c>
      <c r="Q56" s="37" t="n">
        <f aca="false">Q52+Q55</f>
        <v>1043809.61751637</v>
      </c>
      <c r="R56" s="37" t="n">
        <f aca="false">R52+R55</f>
        <v>1076087.93473164</v>
      </c>
      <c r="S56" s="37" t="n">
        <f aca="false">S52+S55</f>
        <v>1108842.00494827</v>
      </c>
      <c r="T56" s="37" t="n">
        <f aca="false">T52+T55</f>
        <v>1142074.8452013</v>
      </c>
      <c r="U56" s="37" t="n">
        <f aca="false">U52+U55</f>
        <v>1175789.48884076</v>
      </c>
      <c r="V56" s="37" t="n">
        <f aca="false">V52+V55</f>
        <v>1209988.98561537</v>
      </c>
      <c r="W56" s="37" t="n">
        <f aca="false">W52+W55</f>
        <v>1244676.40175668</v>
      </c>
      <c r="X56" s="37" t="n">
        <f aca="false">X52+X55</f>
        <v>1279854.82006358</v>
      </c>
      <c r="Y56" s="37" t="n">
        <f aca="false">Y52+Y55</f>
        <v>1315527.33998731</v>
      </c>
      <c r="Z56" s="37" t="n">
        <f aca="false">Z52+Z55</f>
        <v>1351697.07771686</v>
      </c>
    </row>
    <row r="58" customFormat="false" ht="15" hidden="false" customHeight="false" outlineLevel="0" collapsed="false">
      <c r="A58" s="4" t="s">
        <v>554</v>
      </c>
      <c r="B58" s="5"/>
      <c r="C58" s="5"/>
      <c r="D58" s="5"/>
      <c r="E58" s="5"/>
      <c r="F58" s="5"/>
      <c r="G58" s="5"/>
      <c r="H58" s="5"/>
      <c r="I58" s="5"/>
      <c r="J58" s="5"/>
      <c r="K58" s="5"/>
      <c r="L58" s="5"/>
      <c r="M58" s="5"/>
      <c r="N58" s="5"/>
      <c r="O58" s="5"/>
      <c r="P58" s="5"/>
      <c r="Q58" s="5"/>
      <c r="R58" s="5"/>
      <c r="S58" s="5"/>
      <c r="T58" s="5"/>
      <c r="U58" s="5"/>
      <c r="V58" s="5"/>
      <c r="W58" s="5"/>
      <c r="X58" s="5"/>
      <c r="Y58" s="5"/>
      <c r="Z58" s="5"/>
    </row>
    <row r="59" customFormat="false" ht="15" hidden="false" customHeight="false" outlineLevel="0" collapsed="false">
      <c r="A59" s="11" t="s">
        <v>555</v>
      </c>
      <c r="C59" s="35" t="n">
        <f aca="false">SUM($C21:C21)/C$3*12</f>
        <v>420000</v>
      </c>
      <c r="D59" s="35" t="n">
        <f aca="false">SUM($C21:D21)/D$3*12</f>
        <v>244098.708333333</v>
      </c>
      <c r="E59" s="35" t="n">
        <f aca="false">SUM($C21:E21)/E$3*12</f>
        <v>295582.426666666</v>
      </c>
      <c r="F59" s="35" t="n">
        <f aca="false">SUM($C21:F21)/F$3*12</f>
        <v>340773.904764999</v>
      </c>
      <c r="G59" s="35" t="n">
        <f aca="false">SUM($C21:G21)/G$3*12</f>
        <v>383457.742650457</v>
      </c>
      <c r="H59" s="35" t="n">
        <f aca="false">SUM($C21:H21)/H$3*12</f>
        <v>424895.515603371</v>
      </c>
      <c r="I59" s="35" t="n">
        <f aca="false">SUM($C21:I21)/I$3*12</f>
        <v>460056.50630623</v>
      </c>
      <c r="J59" s="35" t="n">
        <f aca="false">SUM($C21:J21)/J$3*12</f>
        <v>487354.554547152</v>
      </c>
      <c r="K59" s="35" t="n">
        <f aca="false">SUM($C21:K21)/K$3*12</f>
        <v>509415.896010669</v>
      </c>
      <c r="L59" s="35" t="n">
        <f aca="false">SUM($C21:L21)/L$3*12</f>
        <v>527816.2977947</v>
      </c>
      <c r="M59" s="35" t="n">
        <f aca="false">SUM($C21:M21)/M$3*12</f>
        <v>543558.544252208</v>
      </c>
      <c r="N59" s="35" t="n">
        <f aca="false">SUM(C21:N21)</f>
        <v>557311.17991259</v>
      </c>
      <c r="O59" s="35" t="n">
        <f aca="false">SUM(D21:O21)</f>
        <v>581998.485309854</v>
      </c>
      <c r="P59" s="35" t="n">
        <f aca="false">SUM(E21:P21)</f>
        <v>636644.84632192</v>
      </c>
      <c r="Q59" s="35" t="n">
        <f aca="false">SUM(F21:Q21)</f>
        <v>664408.081700383</v>
      </c>
      <c r="R59" s="35" t="n">
        <f aca="false">SUM(G21:R21)</f>
        <v>686338.449018866</v>
      </c>
      <c r="S59" s="35" t="n">
        <f aca="false">SUM(H21:S21)</f>
        <v>702436.207179705</v>
      </c>
      <c r="T59" s="35" t="n">
        <f aca="false">SUM(I21:T21)</f>
        <v>712701.61642068</v>
      </c>
      <c r="U59" s="35" t="n">
        <f aca="false">SUM(J21:U21)</f>
        <v>720384.93832177</v>
      </c>
      <c r="V59" s="35" t="n">
        <f aca="false">SUM(K21:V21)</f>
        <v>728116.991367504</v>
      </c>
      <c r="W59" s="35" t="n">
        <f aca="false">SUM(L21:W21)</f>
        <v>735898.039842674</v>
      </c>
      <c r="X59" s="35" t="n">
        <f aca="false">SUM(M21:X21)</f>
        <v>743728.349394757</v>
      </c>
      <c r="Y59" s="35" t="n">
        <f aca="false">SUM(N21:Y21)</f>
        <v>751608.187040806</v>
      </c>
      <c r="Z59" s="35" t="n">
        <f aca="false">SUM(O21:Z21)</f>
        <v>759537.821174384</v>
      </c>
    </row>
    <row r="60" customFormat="false" ht="15" hidden="false" customHeight="false" outlineLevel="0" collapsed="false">
      <c r="A60" s="11" t="s">
        <v>556</v>
      </c>
      <c r="C60" s="35" t="n">
        <f aca="false">Assumptions!$B$21+'Initiative Cash Flows'!C74</f>
        <v>12000</v>
      </c>
      <c r="D60" s="35" t="n">
        <f aca="false">Assumptions!$B$21+'Initiative Cash Flows'!D74</f>
        <v>12000</v>
      </c>
      <c r="E60" s="35" t="n">
        <f aca="false">Assumptions!$B$21+'Initiative Cash Flows'!E74</f>
        <v>15471.7253650383</v>
      </c>
      <c r="F60" s="35" t="n">
        <f aca="false">Assumptions!$B$21+'Initiative Cash Flows'!F74</f>
        <v>15471.7253650383</v>
      </c>
      <c r="G60" s="35" t="n">
        <f aca="false">Assumptions!$B$21+'Initiative Cash Flows'!G74</f>
        <v>15471.7253650383</v>
      </c>
      <c r="H60" s="35" t="n">
        <f aca="false">Assumptions!$B$21+'Initiative Cash Flows'!H74</f>
        <v>15471.7253650383</v>
      </c>
      <c r="I60" s="35" t="n">
        <f aca="false">Assumptions!$B$21+'Initiative Cash Flows'!I74</f>
        <v>15471.7253650383</v>
      </c>
      <c r="J60" s="35" t="n">
        <f aca="false">Assumptions!$B$21+'Initiative Cash Flows'!J74</f>
        <v>15471.7253650383</v>
      </c>
      <c r="K60" s="35" t="n">
        <f aca="false">Assumptions!$B$21+'Initiative Cash Flows'!K74</f>
        <v>15471.7253650383</v>
      </c>
      <c r="L60" s="35" t="n">
        <f aca="false">Assumptions!$B$21+'Initiative Cash Flows'!L74</f>
        <v>15471.7253650383</v>
      </c>
      <c r="M60" s="35" t="n">
        <f aca="false">Assumptions!$B$21+'Initiative Cash Flows'!M74</f>
        <v>15471.7253650383</v>
      </c>
      <c r="N60" s="35" t="n">
        <f aca="false">Assumptions!$B$21+'Initiative Cash Flows'!N74</f>
        <v>15471.7253650383</v>
      </c>
      <c r="O60" s="35" t="n">
        <f aca="false">Assumptions!$B$21+'Initiative Cash Flows'!O74</f>
        <v>15471.7253650383</v>
      </c>
      <c r="P60" s="35" t="n">
        <f aca="false">Assumptions!$B$21+'Initiative Cash Flows'!P74</f>
        <v>15471.7253650383</v>
      </c>
      <c r="Q60" s="35" t="n">
        <f aca="false">Assumptions!$B$21+'Initiative Cash Flows'!Q74</f>
        <v>15471.7253650383</v>
      </c>
      <c r="R60" s="35" t="n">
        <f aca="false">Assumptions!$B$21+'Initiative Cash Flows'!R74</f>
        <v>15471.7253650383</v>
      </c>
      <c r="S60" s="35" t="n">
        <f aca="false">Assumptions!$B$21+'Initiative Cash Flows'!S74</f>
        <v>15471.7253650383</v>
      </c>
      <c r="T60" s="35" t="n">
        <f aca="false">Assumptions!$B$21+'Initiative Cash Flows'!T74</f>
        <v>15471.7253650383</v>
      </c>
      <c r="U60" s="35" t="n">
        <f aca="false">Assumptions!$B$21+'Initiative Cash Flows'!U74</f>
        <v>15471.7253650383</v>
      </c>
      <c r="V60" s="35" t="n">
        <f aca="false">Assumptions!$B$21+'Initiative Cash Flows'!V74</f>
        <v>15471.7253650383</v>
      </c>
      <c r="W60" s="35" t="n">
        <f aca="false">Assumptions!$B$21+'Initiative Cash Flows'!W74</f>
        <v>15471.7253650383</v>
      </c>
      <c r="X60" s="35" t="n">
        <f aca="false">Assumptions!$B$21+'Initiative Cash Flows'!X74</f>
        <v>15471.7253650383</v>
      </c>
      <c r="Y60" s="35" t="n">
        <f aca="false">Assumptions!$B$21+'Initiative Cash Flows'!Y74</f>
        <v>15471.7253650383</v>
      </c>
      <c r="Z60" s="35" t="n">
        <f aca="false">Assumptions!$B$21+'Initiative Cash Flows'!Z74</f>
        <v>15471.7253650383</v>
      </c>
    </row>
    <row r="61" customFormat="false" ht="15" hidden="false" customHeight="false" outlineLevel="0" collapsed="false">
      <c r="A61" s="11" t="s">
        <v>557</v>
      </c>
      <c r="C61" s="41" t="n">
        <f aca="false">IFERROR(C59/(C60*12),0)</f>
        <v>2.91666666666667</v>
      </c>
      <c r="D61" s="41" t="n">
        <f aca="false">IFERROR(D59/(D60*12),0)</f>
        <v>1.69512991898148</v>
      </c>
      <c r="E61" s="41" t="n">
        <f aca="false">IFERROR(E59/(E60*12),0)</f>
        <v>1.59205701418084</v>
      </c>
      <c r="F61" s="41" t="n">
        <f aca="false">IFERROR(F59/(F60*12),0)</f>
        <v>1.83546596950682</v>
      </c>
      <c r="G61" s="41" t="n">
        <f aca="false">IFERROR(G59/(G60*12),0)</f>
        <v>2.0653683499157</v>
      </c>
      <c r="H61" s="41" t="n">
        <f aca="false">IFERROR(H59/(H60*12),0)</f>
        <v>2.28855921354616</v>
      </c>
      <c r="I61" s="41" t="n">
        <f aca="false">IFERROR(I59/(I60*12),0)</f>
        <v>2.47794226485036</v>
      </c>
      <c r="J61" s="41" t="n">
        <f aca="false">IFERROR(J59/(J60*12),0)</f>
        <v>2.62497417627187</v>
      </c>
      <c r="K61" s="41" t="n">
        <f aca="false">IFERROR(K59/(K60*12),0)</f>
        <v>2.74380029802518</v>
      </c>
      <c r="L61" s="41" t="n">
        <f aca="false">IFERROR(L59/(L60*12),0)</f>
        <v>2.84290797859459</v>
      </c>
      <c r="M61" s="41" t="n">
        <f aca="false">IFERROR(M59/(M60*12),0)</f>
        <v>2.92769838435136</v>
      </c>
      <c r="N61" s="41" t="n">
        <f aca="false">IFERROR(N59/(N60*12),0)</f>
        <v>3.0017724093653</v>
      </c>
      <c r="O61" s="41" t="n">
        <f aca="false">IFERROR(O59/(O60*12),0)</f>
        <v>3.13474241763734</v>
      </c>
      <c r="P61" s="41" t="n">
        <f aca="false">IFERROR(P59/(P60*12),0)</f>
        <v>3.42907697375366</v>
      </c>
      <c r="Q61" s="41" t="n">
        <f aca="false">IFERROR(Q59/(Q60*12),0)</f>
        <v>3.57861446188885</v>
      </c>
      <c r="R61" s="41" t="n">
        <f aca="false">IFERROR(R59/(R60*12),0)</f>
        <v>3.6967351347133</v>
      </c>
      <c r="S61" s="41" t="n">
        <f aca="false">IFERROR(S59/(S60*12),0)</f>
        <v>3.78344038671888</v>
      </c>
      <c r="T61" s="41" t="n">
        <f aca="false">IFERROR(T59/(T60*12),0)</f>
        <v>3.83873161959031</v>
      </c>
      <c r="U61" s="41" t="n">
        <f aca="false">IFERROR(U59/(U60*12),0)</f>
        <v>3.88011529270913</v>
      </c>
      <c r="V61" s="41" t="n">
        <f aca="false">IFERROR(V59/(V60*12),0)</f>
        <v>3.92176144002681</v>
      </c>
      <c r="W61" s="41" t="n">
        <f aca="false">IFERROR(W59/(W60*12),0)</f>
        <v>3.96367148502602</v>
      </c>
      <c r="X61" s="41" t="n">
        <f aca="false">IFERROR(X59/(X60*12),0)</f>
        <v>4.00584685852906</v>
      </c>
      <c r="Y61" s="41" t="n">
        <f aca="false">IFERROR(Y59/(Y60*12),0)</f>
        <v>4.048288998735</v>
      </c>
      <c r="Z61" s="41" t="n">
        <f aca="false">IFERROR(Z59/(Z60*12),0)</f>
        <v>4.09099935125703</v>
      </c>
    </row>
    <row r="62" customFormat="false" ht="15" hidden="false" customHeight="false" outlineLevel="0" collapsed="false">
      <c r="A62" s="11" t="s">
        <v>558</v>
      </c>
      <c r="C62" s="42" t="n">
        <f aca="false">IFERROR(C52/(-(C8+C10+C14+C16+C18)),0)</f>
        <v>0.575268817204301</v>
      </c>
      <c r="D62" s="42" t="n">
        <f aca="false">IFERROR(D52/(-(D8+D10+D14+D16+D18)),0)</f>
        <v>0.583598232805509</v>
      </c>
      <c r="E62" s="42" t="n">
        <f aca="false">IFERROR(E52/(-(E8+E10+E14+E16+E18)),0)</f>
        <v>0.860231839481805</v>
      </c>
      <c r="F62" s="42" t="n">
        <f aca="false">IFERROR(F52/(-(F8+F10+F14+F16+F18)),0)</f>
        <v>0.899129965106493</v>
      </c>
      <c r="G62" s="42" t="n">
        <f aca="false">IFERROR(G52/(-(G8+G10+G14+G16+G18)),0)</f>
        <v>0.947721953297882</v>
      </c>
      <c r="H62" s="42" t="n">
        <f aca="false">IFERROR(H52/(-(H8+H10+H14+H16+H18)),0)</f>
        <v>1.00589536977197</v>
      </c>
      <c r="I62" s="42" t="n">
        <f aca="false">IFERROR(I52/(-(I8+I10+I14+I16+I18)),0)</f>
        <v>1.06854420958356</v>
      </c>
      <c r="J62" s="42" t="n">
        <f aca="false">IFERROR(J52/(-(J8+J10+J14+J16+J18)),0)</f>
        <v>1.13159114574336</v>
      </c>
      <c r="K62" s="42" t="n">
        <f aca="false">IFERROR(K52/(-(K8+K10+K14+K16+K18)),0)</f>
        <v>1.19503374340215</v>
      </c>
      <c r="L62" s="42" t="n">
        <f aca="false">IFERROR(L52/(-(L8+L10+L14+L16+L18)),0)</f>
        <v>1.25886957253569</v>
      </c>
      <c r="M62" s="42" t="n">
        <f aca="false">IFERROR(M52/(-(M8+M10+M14+M16+M18)),0)</f>
        <v>1.32309620797001</v>
      </c>
      <c r="N62" s="42" t="n">
        <f aca="false">IFERROR(N52/(-(N8+N10+N14+N16+N18)),0)</f>
        <v>1.38771122940651</v>
      </c>
      <c r="O62" s="42" t="n">
        <f aca="false">IFERROR(O52/(-(O8+O10+O14+O16+O18)),0)</f>
        <v>1.45271222144683</v>
      </c>
      <c r="P62" s="42" t="n">
        <f aca="false">IFERROR(P52/(-(P8+P10+P14+P16+P18)),0)</f>
        <v>1.51809677361746</v>
      </c>
      <c r="Q62" s="42" t="n">
        <f aca="false">IFERROR(Q52/(-(Q8+Q10+Q14+Q16+Q18)),0)</f>
        <v>1.57511854202156</v>
      </c>
      <c r="R62" s="42" t="n">
        <f aca="false">IFERROR(R52/(-(R8+R10+R14+R16+R18)),0)</f>
        <v>1.63258923959906</v>
      </c>
      <c r="S62" s="42" t="n">
        <f aca="false">IFERROR(S52/(-(S8+S10+S14+S16+S18)),0)</f>
        <v>1.69050610514381</v>
      </c>
      <c r="T62" s="42" t="n">
        <f aca="false">IFERROR(T52/(-(T8+T10+T14+T16+T18)),0)</f>
        <v>1.74886638370826</v>
      </c>
      <c r="U62" s="42" t="n">
        <f aca="false">IFERROR(U52/(-(U8+U10+U14+U16+U18)),0)</f>
        <v>1.80766732662621</v>
      </c>
      <c r="V62" s="42" t="n">
        <f aca="false">IFERROR(V52/(-(V8+V10+V14+V16+V18)),0)</f>
        <v>1.86690619153543</v>
      </c>
      <c r="W62" s="42" t="n">
        <f aca="false">IFERROR(W52/(-(W8+W10+W14+W16+W18)),0)</f>
        <v>1.92658024239998</v>
      </c>
      <c r="X62" s="42" t="n">
        <f aca="false">IFERROR(X52/(-(X8+X10+X14+X16+X18)),0)</f>
        <v>1.98668674953224</v>
      </c>
      <c r="Y62" s="42" t="n">
        <f aca="false">IFERROR(Y52/(-(Y8+Y10+Y14+Y16+Y18)),0)</f>
        <v>2.04722298961476</v>
      </c>
      <c r="Z62" s="42" t="n">
        <f aca="false">IFERROR(Z52/(-(Z8+Z10+Z14+Z16+Z18)),0)</f>
        <v>2.10818624572183</v>
      </c>
    </row>
    <row r="63" customFormat="false" ht="15" hidden="false" customHeight="false" outlineLevel="0" collapsed="false">
      <c r="A63" s="11" t="s">
        <v>559</v>
      </c>
      <c r="C63" s="38" t="n">
        <f aca="false">'Initiative Cash Flows'!C105</f>
        <v>0</v>
      </c>
      <c r="D63" s="38" t="n">
        <f aca="false">'Initiative Cash Flows'!D105</f>
        <v>-29911.8819444444</v>
      </c>
      <c r="E63" s="38" t="n">
        <f aca="false">'Initiative Cash Flows'!E105</f>
        <v>-244413.208333333</v>
      </c>
      <c r="F63" s="38" t="n">
        <f aca="false">'Initiative Cash Flows'!F105</f>
        <v>-241513.979166667</v>
      </c>
      <c r="G63" s="38" t="n">
        <f aca="false">'Initiative Cash Flows'!G105</f>
        <v>-232734.194444444</v>
      </c>
      <c r="H63" s="38" t="n">
        <f aca="false">'Initiative Cash Flows'!H105</f>
        <v>-218073.854166667</v>
      </c>
      <c r="I63" s="38" t="n">
        <f aca="false">'Initiative Cash Flows'!I105</f>
        <v>-200782.958333333</v>
      </c>
      <c r="J63" s="38" t="n">
        <f aca="false">'Initiative Cash Flows'!J105</f>
        <v>-183492.0625</v>
      </c>
      <c r="K63" s="38" t="n">
        <f aca="false">'Initiative Cash Flows'!K105</f>
        <v>-166201.166666667</v>
      </c>
      <c r="L63" s="38" t="n">
        <f aca="false">'Initiative Cash Flows'!L105</f>
        <v>-148910.270833333</v>
      </c>
      <c r="M63" s="38" t="n">
        <f aca="false">'Initiative Cash Flows'!M105</f>
        <v>-131619.375</v>
      </c>
      <c r="N63" s="38" t="n">
        <f aca="false">'Initiative Cash Flows'!N105</f>
        <v>-114328.479166667</v>
      </c>
      <c r="O63" s="38" t="n">
        <f aca="false">'Initiative Cash Flows'!O105</f>
        <v>-97037.5833333333</v>
      </c>
      <c r="P63" s="38" t="n">
        <f aca="false">'Initiative Cash Flows'!P105</f>
        <v>-79746.6874999999</v>
      </c>
      <c r="Q63" s="38" t="n">
        <f aca="false">'Initiative Cash Flows'!Q105</f>
        <v>-62455.7916666666</v>
      </c>
      <c r="R63" s="38" t="n">
        <f aca="false">'Initiative Cash Flows'!R105</f>
        <v>-45164.8958333332</v>
      </c>
      <c r="S63" s="38" t="n">
        <f aca="false">'Initiative Cash Flows'!S105</f>
        <v>-27873.9999999999</v>
      </c>
      <c r="T63" s="38" t="n">
        <f aca="false">'Initiative Cash Flows'!T105</f>
        <v>-10583.1041666666</v>
      </c>
      <c r="U63" s="38" t="n">
        <f aca="false">'Initiative Cash Flows'!U105</f>
        <v>6707.79166666677</v>
      </c>
      <c r="V63" s="38" t="n">
        <f aca="false">'Initiative Cash Flows'!V105</f>
        <v>23998.6875000001</v>
      </c>
      <c r="W63" s="38" t="n">
        <f aca="false">'Initiative Cash Flows'!W105</f>
        <v>41289.5833333334</v>
      </c>
      <c r="X63" s="38" t="n">
        <f aca="false">'Initiative Cash Flows'!X105</f>
        <v>58580.4791666668</v>
      </c>
      <c r="Y63" s="38" t="n">
        <f aca="false">'Initiative Cash Flows'!Y105</f>
        <v>75871.3750000001</v>
      </c>
      <c r="Z63" s="38" t="n">
        <f aca="false">'Initiative Cash Flows'!Z105</f>
        <v>93162.2708333335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
    <col collapsed="false" customWidth="true" hidden="false" outlineLevel="0" max="15" min="3" style="0" width="12"/>
  </cols>
  <sheetData>
    <row r="1" customFormat="false" ht="17.35" hidden="false" customHeight="false" outlineLevel="0" collapsed="false">
      <c r="A1" s="10" t="s">
        <v>560</v>
      </c>
    </row>
    <row r="2" customFormat="false" ht="15" hidden="false" customHeight="false" outlineLevel="0" collapsed="false">
      <c r="A2" s="3" t="s">
        <v>561</v>
      </c>
    </row>
    <row r="3" customFormat="false" ht="15" hidden="false" customHeight="false" outlineLevel="0" collapsed="false">
      <c r="A3" s="6" t="s">
        <v>562</v>
      </c>
      <c r="C3" s="33" t="n">
        <v>1</v>
      </c>
      <c r="D3" s="33" t="n">
        <v>2</v>
      </c>
      <c r="E3" s="33" t="n">
        <v>3</v>
      </c>
      <c r="F3" s="33" t="n">
        <v>4</v>
      </c>
      <c r="G3" s="33" t="n">
        <v>5</v>
      </c>
      <c r="H3" s="33" t="n">
        <v>6</v>
      </c>
      <c r="I3" s="33" t="n">
        <v>7</v>
      </c>
      <c r="J3" s="33" t="n">
        <v>8</v>
      </c>
      <c r="K3" s="33" t="n">
        <v>9</v>
      </c>
      <c r="L3" s="33" t="n">
        <v>10</v>
      </c>
      <c r="M3" s="33" t="n">
        <v>11</v>
      </c>
      <c r="N3" s="33" t="n">
        <v>12</v>
      </c>
      <c r="O3" s="33" t="n">
        <v>13</v>
      </c>
    </row>
    <row r="4" customFormat="false" ht="15" hidden="false" customHeight="false" outlineLevel="0" collapsed="false">
      <c r="A4" s="6" t="s">
        <v>563</v>
      </c>
      <c r="C4" s="43" t="n">
        <f aca="false">Assumptions!$B$6+7*C3-1</f>
        <v>46302</v>
      </c>
      <c r="D4" s="43" t="n">
        <f aca="false">Assumptions!$B$6+7*D3-1</f>
        <v>46309</v>
      </c>
      <c r="E4" s="43" t="n">
        <f aca="false">Assumptions!$B$6+7*E3-1</f>
        <v>46316</v>
      </c>
      <c r="F4" s="43" t="n">
        <f aca="false">Assumptions!$B$6+7*F3-1</f>
        <v>46323</v>
      </c>
      <c r="G4" s="43" t="n">
        <f aca="false">Assumptions!$B$6+7*G3-1</f>
        <v>46330</v>
      </c>
      <c r="H4" s="43" t="n">
        <f aca="false">Assumptions!$B$6+7*H3-1</f>
        <v>46337</v>
      </c>
      <c r="I4" s="43" t="n">
        <f aca="false">Assumptions!$B$6+7*I3-1</f>
        <v>46344</v>
      </c>
      <c r="J4" s="43" t="n">
        <f aca="false">Assumptions!$B$6+7*J3-1</f>
        <v>46351</v>
      </c>
      <c r="K4" s="43" t="n">
        <f aca="false">Assumptions!$B$6+7*K3-1</f>
        <v>46358</v>
      </c>
      <c r="L4" s="43" t="n">
        <f aca="false">Assumptions!$B$6+7*L3-1</f>
        <v>46365</v>
      </c>
      <c r="M4" s="43" t="n">
        <f aca="false">Assumptions!$B$6+7*M3-1</f>
        <v>46372</v>
      </c>
      <c r="N4" s="43" t="n">
        <f aca="false">Assumptions!$B$6+7*N3-1</f>
        <v>46379</v>
      </c>
      <c r="O4" s="43" t="n">
        <f aca="false">Assumptions!$B$6+7*O3-1</f>
        <v>46386</v>
      </c>
    </row>
    <row r="5" customFormat="false" ht="15" hidden="false" customHeight="false" outlineLevel="0" collapsed="false">
      <c r="A5" s="13" t="s">
        <v>564</v>
      </c>
      <c r="C5" s="44" t="n">
        <f aca="false">(YEAR(C4)-YEAR(Assumptions!$B$6))*12+MONTH(C4)-MONTH(Assumptions!$B$6)+1</f>
        <v>1</v>
      </c>
      <c r="D5" s="44" t="n">
        <f aca="false">(YEAR(D4)-YEAR(Assumptions!$B$6))*12+MONTH(D4)-MONTH(Assumptions!$B$6)+1</f>
        <v>1</v>
      </c>
      <c r="E5" s="44" t="n">
        <f aca="false">(YEAR(E4)-YEAR(Assumptions!$B$6))*12+MONTH(E4)-MONTH(Assumptions!$B$6)+1</f>
        <v>1</v>
      </c>
      <c r="F5" s="44" t="n">
        <f aca="false">(YEAR(F4)-YEAR(Assumptions!$B$6))*12+MONTH(F4)-MONTH(Assumptions!$B$6)+1</f>
        <v>1</v>
      </c>
      <c r="G5" s="44" t="n">
        <f aca="false">(YEAR(G4)-YEAR(Assumptions!$B$6))*12+MONTH(G4)-MONTH(Assumptions!$B$6)+1</f>
        <v>2</v>
      </c>
      <c r="H5" s="44" t="n">
        <f aca="false">(YEAR(H4)-YEAR(Assumptions!$B$6))*12+MONTH(H4)-MONTH(Assumptions!$B$6)+1</f>
        <v>2</v>
      </c>
      <c r="I5" s="44" t="n">
        <f aca="false">(YEAR(I4)-YEAR(Assumptions!$B$6))*12+MONTH(I4)-MONTH(Assumptions!$B$6)+1</f>
        <v>2</v>
      </c>
      <c r="J5" s="44" t="n">
        <f aca="false">(YEAR(J4)-YEAR(Assumptions!$B$6))*12+MONTH(J4)-MONTH(Assumptions!$B$6)+1</f>
        <v>2</v>
      </c>
      <c r="K5" s="44" t="n">
        <f aca="false">(YEAR(K4)-YEAR(Assumptions!$B$6))*12+MONTH(K4)-MONTH(Assumptions!$B$6)+1</f>
        <v>3</v>
      </c>
      <c r="L5" s="44" t="n">
        <f aca="false">(YEAR(L4)-YEAR(Assumptions!$B$6))*12+MONTH(L4)-MONTH(Assumptions!$B$6)+1</f>
        <v>3</v>
      </c>
      <c r="M5" s="44" t="n">
        <f aca="false">(YEAR(M4)-YEAR(Assumptions!$B$6))*12+MONTH(M4)-MONTH(Assumptions!$B$6)+1</f>
        <v>3</v>
      </c>
      <c r="N5" s="44" t="n">
        <f aca="false">(YEAR(N4)-YEAR(Assumptions!$B$6))*12+MONTH(N4)-MONTH(Assumptions!$B$6)+1</f>
        <v>3</v>
      </c>
      <c r="O5" s="44" t="n">
        <f aca="false">(YEAR(O4)-YEAR(Assumptions!$B$6))*12+MONTH(O4)-MONTH(Assumptions!$B$6)+1</f>
        <v>3</v>
      </c>
    </row>
    <row r="7" customFormat="false" ht="15" hidden="false" customHeight="false" outlineLevel="0" collapsed="false">
      <c r="A7" s="4" t="s">
        <v>565</v>
      </c>
      <c r="B7" s="5"/>
      <c r="C7" s="5"/>
      <c r="D7" s="5"/>
      <c r="E7" s="5"/>
      <c r="F7" s="5"/>
      <c r="G7" s="5"/>
      <c r="H7" s="5"/>
      <c r="I7" s="5"/>
      <c r="J7" s="5"/>
      <c r="K7" s="5"/>
      <c r="L7" s="5"/>
      <c r="M7" s="5"/>
      <c r="N7" s="5"/>
      <c r="O7" s="5"/>
    </row>
    <row r="8" customFormat="false" ht="15" hidden="false" customHeight="false" outlineLevel="0" collapsed="false">
      <c r="A8" s="11" t="s">
        <v>566</v>
      </c>
      <c r="C8" s="35" t="n">
        <f aca="false">INDEX('Monthly Cash Flow'!$C$7:$Z$7,MAX(1,MIN(24,C5-Assumptions!$B$52)))/Assumptions!$B$50</f>
        <v>115074.798619102</v>
      </c>
      <c r="D8" s="35" t="n">
        <f aca="false">INDEX('Monthly Cash Flow'!$C$7:$Z$7,MAX(1,MIN(24,D5-Assumptions!$B$52)))/Assumptions!$B$50</f>
        <v>115074.798619102</v>
      </c>
      <c r="E8" s="35" t="n">
        <f aca="false">INDEX('Monthly Cash Flow'!$C$7:$Z$7,MAX(1,MIN(24,E5-Assumptions!$B$52)))/Assumptions!$B$50</f>
        <v>115074.798619102</v>
      </c>
      <c r="F8" s="35" t="n">
        <f aca="false">INDEX('Monthly Cash Flow'!$C$7:$Z$7,MAX(1,MIN(24,F5-Assumptions!$B$52)))/Assumptions!$B$50</f>
        <v>115074.798619102</v>
      </c>
      <c r="G8" s="35" t="n">
        <f aca="false">INDEX('Monthly Cash Flow'!$C$7:$Z$7,MAX(1,MIN(24,G5-Assumptions!$B$52)))/Assumptions!$B$50</f>
        <v>115074.798619102</v>
      </c>
      <c r="H8" s="35" t="n">
        <f aca="false">INDEX('Monthly Cash Flow'!$C$7:$Z$7,MAX(1,MIN(24,H5-Assumptions!$B$52)))/Assumptions!$B$50</f>
        <v>115074.798619102</v>
      </c>
      <c r="I8" s="35" t="n">
        <f aca="false">INDEX('Monthly Cash Flow'!$C$7:$Z$7,MAX(1,MIN(24,I5-Assumptions!$B$52)))/Assumptions!$B$50</f>
        <v>115074.798619102</v>
      </c>
      <c r="J8" s="35" t="n">
        <f aca="false">INDEX('Monthly Cash Flow'!$C$7:$Z$7,MAX(1,MIN(24,J5-Assumptions!$B$52)))/Assumptions!$B$50</f>
        <v>115074.798619102</v>
      </c>
      <c r="K8" s="35" t="n">
        <f aca="false">INDEX('Monthly Cash Flow'!$C$7:$Z$7,MAX(1,MIN(24,K5-Assumptions!$B$52)))/Assumptions!$B$50</f>
        <v>115650.172612198</v>
      </c>
      <c r="L8" s="35" t="n">
        <f aca="false">INDEX('Monthly Cash Flow'!$C$7:$Z$7,MAX(1,MIN(24,L5-Assumptions!$B$52)))/Assumptions!$B$50</f>
        <v>115650.172612198</v>
      </c>
      <c r="M8" s="35" t="n">
        <f aca="false">INDEX('Monthly Cash Flow'!$C$7:$Z$7,MAX(1,MIN(24,M5-Assumptions!$B$52)))/Assumptions!$B$50</f>
        <v>115650.172612198</v>
      </c>
      <c r="N8" s="35" t="n">
        <f aca="false">INDEX('Monthly Cash Flow'!$C$7:$Z$7,MAX(1,MIN(24,N5-Assumptions!$B$52)))/Assumptions!$B$50</f>
        <v>115650.172612198</v>
      </c>
      <c r="O8" s="35" t="n">
        <f aca="false">INDEX('Monthly Cash Flow'!$C$7:$Z$7,MAX(1,MIN(24,O5-Assumptions!$B$52)))/Assumptions!$B$50</f>
        <v>115650.172612198</v>
      </c>
    </row>
    <row r="9" customFormat="false" ht="15" hidden="false" customHeight="false" outlineLevel="0" collapsed="false">
      <c r="A9" s="11" t="s">
        <v>567</v>
      </c>
      <c r="C9" s="35" t="n">
        <f aca="false">INDEX('Initiative Cash Flows'!$C$106:$Z$106,MAX(1,MIN(24,C5)))/Assumptions!$B$50</f>
        <v>0</v>
      </c>
      <c r="D9" s="35" t="n">
        <f aca="false">INDEX('Initiative Cash Flows'!$C$106:$Z$106,MAX(1,MIN(24,D5)))/Assumptions!$B$50</f>
        <v>0</v>
      </c>
      <c r="E9" s="35" t="n">
        <f aca="false">INDEX('Initiative Cash Flows'!$C$106:$Z$106,MAX(1,MIN(24,E5)))/Assumptions!$B$50</f>
        <v>0</v>
      </c>
      <c r="F9" s="35" t="n">
        <f aca="false">INDEX('Initiative Cash Flows'!$C$106:$Z$106,MAX(1,MIN(24,F5)))/Assumptions!$B$50</f>
        <v>0</v>
      </c>
      <c r="G9" s="35" t="n">
        <f aca="false">INDEX('Initiative Cash Flows'!$C$106:$Z$106,MAX(1,MIN(24,G5)))/Assumptions!$B$50</f>
        <v>605.421301623833</v>
      </c>
      <c r="H9" s="35" t="n">
        <f aca="false">INDEX('Initiative Cash Flows'!$C$106:$Z$106,MAX(1,MIN(24,H5)))/Assumptions!$B$50</f>
        <v>605.421301623833</v>
      </c>
      <c r="I9" s="35" t="n">
        <f aca="false">INDEX('Initiative Cash Flows'!$C$106:$Z$106,MAX(1,MIN(24,I5)))/Assumptions!$B$50</f>
        <v>605.421301623833</v>
      </c>
      <c r="J9" s="35" t="n">
        <f aca="false">INDEX('Initiative Cash Flows'!$C$106:$Z$106,MAX(1,MIN(24,J5)))/Assumptions!$B$50</f>
        <v>605.421301623833</v>
      </c>
      <c r="K9" s="35" t="n">
        <f aca="false">INDEX('Initiative Cash Flows'!$C$106:$Z$106,MAX(1,MIN(24,K5)))/Assumptions!$B$50</f>
        <v>1958.82879427183</v>
      </c>
      <c r="L9" s="35" t="n">
        <f aca="false">INDEX('Initiative Cash Flows'!$C$106:$Z$106,MAX(1,MIN(24,L5)))/Assumptions!$B$50</f>
        <v>1958.82879427183</v>
      </c>
      <c r="M9" s="35" t="n">
        <f aca="false">INDEX('Initiative Cash Flows'!$C$106:$Z$106,MAX(1,MIN(24,M5)))/Assumptions!$B$50</f>
        <v>1958.82879427183</v>
      </c>
      <c r="N9" s="35" t="n">
        <f aca="false">INDEX('Initiative Cash Flows'!$C$106:$Z$106,MAX(1,MIN(24,N5)))/Assumptions!$B$50</f>
        <v>1958.82879427183</v>
      </c>
      <c r="O9" s="35" t="n">
        <f aca="false">INDEX('Initiative Cash Flows'!$C$106:$Z$106,MAX(1,MIN(24,O5)))/Assumptions!$B$50</f>
        <v>1958.82879427183</v>
      </c>
    </row>
    <row r="10" customFormat="false" ht="15" hidden="false" customHeight="false" outlineLevel="0" collapsed="false">
      <c r="A10" s="11" t="s">
        <v>568</v>
      </c>
      <c r="C10" s="35" t="n">
        <f aca="false">INDEX('Initiative Cash Flows'!$C$73:$Z$73,MAX(1,MIN(24,C5)))</f>
        <v>0</v>
      </c>
      <c r="D10" s="35" t="n">
        <f aca="false">IF(D5&lt;&gt;C5,INDEX('Initiative Cash Flows'!$C$73:$Z$73,MAX(1,MIN(24,D5))),0)</f>
        <v>0</v>
      </c>
      <c r="E10" s="35" t="n">
        <f aca="false">IF(E5&lt;&gt;D5,INDEX('Initiative Cash Flows'!$C$73:$Z$73,MAX(1,MIN(24,E5))),0)</f>
        <v>0</v>
      </c>
      <c r="F10" s="35" t="n">
        <f aca="false">IF(F5&lt;&gt;E5,INDEX('Initiative Cash Flows'!$C$73:$Z$73,MAX(1,MIN(24,F5))),0)</f>
        <v>0</v>
      </c>
      <c r="G10" s="35" t="n">
        <f aca="false">IF(G5&lt;&gt;F5,INDEX('Initiative Cash Flows'!$C$73:$Z$73,MAX(1,MIN(24,G5))),0)</f>
        <v>0</v>
      </c>
      <c r="H10" s="35" t="n">
        <f aca="false">IF(H5&lt;&gt;G5,INDEX('Initiative Cash Flows'!$C$73:$Z$73,MAX(1,MIN(24,H5))),0)</f>
        <v>0</v>
      </c>
      <c r="I10" s="35" t="n">
        <f aca="false">IF(I5&lt;&gt;H5,INDEX('Initiative Cash Flows'!$C$73:$Z$73,MAX(1,MIN(24,I5))),0)</f>
        <v>0</v>
      </c>
      <c r="J10" s="35" t="n">
        <f aca="false">IF(J5&lt;&gt;I5,INDEX('Initiative Cash Flows'!$C$73:$Z$73,MAX(1,MIN(24,J5))),0)</f>
        <v>0</v>
      </c>
      <c r="K10" s="35" t="n">
        <f aca="false">IF(K5&lt;&gt;J5,INDEX('Initiative Cash Flows'!$C$73:$Z$73,MAX(1,MIN(24,K5))),0)</f>
        <v>169216</v>
      </c>
      <c r="L10" s="35" t="n">
        <f aca="false">IF(L5&lt;&gt;K5,INDEX('Initiative Cash Flows'!$C$73:$Z$73,MAX(1,MIN(24,L5))),0)</f>
        <v>0</v>
      </c>
      <c r="M10" s="35" t="n">
        <f aca="false">IF(M5&lt;&gt;L5,INDEX('Initiative Cash Flows'!$C$73:$Z$73,MAX(1,MIN(24,M5))),0)</f>
        <v>0</v>
      </c>
      <c r="N10" s="35" t="n">
        <f aca="false">IF(N5&lt;&gt;M5,INDEX('Initiative Cash Flows'!$C$73:$Z$73,MAX(1,MIN(24,N5))),0)</f>
        <v>0</v>
      </c>
      <c r="O10" s="35" t="n">
        <f aca="false">IF(O5&lt;&gt;N5,INDEX('Initiative Cash Flows'!$C$73:$Z$73,MAX(1,MIN(24,O5))),0)</f>
        <v>0</v>
      </c>
    </row>
    <row r="11" customFormat="false" ht="15" hidden="false" customHeight="false" outlineLevel="0" collapsed="false">
      <c r="A11" s="11" t="s">
        <v>569</v>
      </c>
      <c r="C11" s="40" t="n">
        <f aca="false">0</f>
        <v>0</v>
      </c>
      <c r="D11" s="40" t="n">
        <f aca="false">0</f>
        <v>0</v>
      </c>
      <c r="E11" s="40" t="n">
        <f aca="false">0</f>
        <v>0</v>
      </c>
      <c r="F11" s="40" t="n">
        <f aca="false">0</f>
        <v>0</v>
      </c>
      <c r="G11" s="40" t="n">
        <f aca="false">0</f>
        <v>0</v>
      </c>
      <c r="H11" s="40" t="n">
        <f aca="false">0</f>
        <v>0</v>
      </c>
      <c r="I11" s="40" t="n">
        <f aca="false">0</f>
        <v>0</v>
      </c>
      <c r="J11" s="40" t="n">
        <f aca="false">0</f>
        <v>0</v>
      </c>
      <c r="K11" s="40" t="n">
        <f aca="false">0</f>
        <v>0</v>
      </c>
      <c r="L11" s="40" t="n">
        <f aca="false">0</f>
        <v>0</v>
      </c>
      <c r="M11" s="40" t="n">
        <f aca="false">0</f>
        <v>0</v>
      </c>
      <c r="N11" s="40" t="n">
        <f aca="false">0</f>
        <v>0</v>
      </c>
      <c r="O11" s="40" t="n">
        <f aca="false">0</f>
        <v>0</v>
      </c>
    </row>
    <row r="12" customFormat="false" ht="15" hidden="false" customHeight="false" outlineLevel="0" collapsed="false">
      <c r="A12" s="6" t="s">
        <v>570</v>
      </c>
      <c r="C12" s="37" t="n">
        <f aca="false">SUM(C8:C11)</f>
        <v>115074.798619102</v>
      </c>
      <c r="D12" s="37" t="n">
        <f aca="false">SUM(D8:D11)</f>
        <v>115074.798619102</v>
      </c>
      <c r="E12" s="37" t="n">
        <f aca="false">SUM(E8:E11)</f>
        <v>115074.798619102</v>
      </c>
      <c r="F12" s="37" t="n">
        <f aca="false">SUM(F8:F11)</f>
        <v>115074.798619102</v>
      </c>
      <c r="G12" s="37" t="n">
        <f aca="false">SUM(G8:G11)</f>
        <v>115680.219920726</v>
      </c>
      <c r="H12" s="37" t="n">
        <f aca="false">SUM(H8:H11)</f>
        <v>115680.219920726</v>
      </c>
      <c r="I12" s="37" t="n">
        <f aca="false">SUM(I8:I11)</f>
        <v>115680.219920726</v>
      </c>
      <c r="J12" s="37" t="n">
        <f aca="false">SUM(J8:J11)</f>
        <v>115680.219920726</v>
      </c>
      <c r="K12" s="37" t="n">
        <f aca="false">SUM(K8:K11)</f>
        <v>286825.00140647</v>
      </c>
      <c r="L12" s="37" t="n">
        <f aca="false">SUM(L8:L11)</f>
        <v>117609.00140647</v>
      </c>
      <c r="M12" s="37" t="n">
        <f aca="false">SUM(M8:M11)</f>
        <v>117609.00140647</v>
      </c>
      <c r="N12" s="37" t="n">
        <f aca="false">SUM(N8:N11)</f>
        <v>117609.00140647</v>
      </c>
      <c r="O12" s="37" t="n">
        <f aca="false">SUM(O8:O11)</f>
        <v>117609.00140647</v>
      </c>
    </row>
    <row r="14" customFormat="false" ht="15" hidden="false" customHeight="false" outlineLevel="0" collapsed="false">
      <c r="A14" s="4" t="s">
        <v>571</v>
      </c>
      <c r="B14" s="5"/>
      <c r="C14" s="5"/>
      <c r="D14" s="5"/>
      <c r="E14" s="5"/>
      <c r="F14" s="5"/>
      <c r="G14" s="5"/>
      <c r="H14" s="5"/>
      <c r="I14" s="5"/>
      <c r="J14" s="5"/>
      <c r="K14" s="5"/>
      <c r="L14" s="5"/>
      <c r="M14" s="5"/>
      <c r="N14" s="5"/>
      <c r="O14" s="5"/>
    </row>
    <row r="15" customFormat="false" ht="15" hidden="false" customHeight="false" outlineLevel="0" collapsed="false">
      <c r="A15" s="11" t="s">
        <v>572</v>
      </c>
      <c r="C15" s="35" t="n">
        <f aca="false">-INDEX('Monthly Cash Flow'!$C$10:$Z$10,MAX(1,MIN(24,C5)))*Assumptions!$B$51/Assumptions!$B$50</f>
        <v>17721.5189873418</v>
      </c>
      <c r="D15" s="35" t="n">
        <f aca="false">-INDEX('Monthly Cash Flow'!$C$10:$Z$10,MAX(1,MIN(24,D5)))*Assumptions!$B$51/Assumptions!$B$50</f>
        <v>17721.5189873418</v>
      </c>
      <c r="E15" s="35" t="n">
        <f aca="false">-INDEX('Monthly Cash Flow'!$C$10:$Z$10,MAX(1,MIN(24,E5)))*Assumptions!$B$51/Assumptions!$B$50</f>
        <v>17721.5189873418</v>
      </c>
      <c r="F15" s="35" t="n">
        <f aca="false">-INDEX('Monthly Cash Flow'!$C$10:$Z$10,MAX(1,MIN(24,F5)))*Assumptions!$B$51/Assumptions!$B$50</f>
        <v>17721.5189873418</v>
      </c>
      <c r="G15" s="35" t="n">
        <f aca="false">-INDEX('Monthly Cash Flow'!$C$10:$Z$10,MAX(1,MIN(24,G5)))*Assumptions!$B$51/Assumptions!$B$50</f>
        <v>17756.9620253165</v>
      </c>
      <c r="H15" s="35" t="n">
        <f aca="false">-INDEX('Monthly Cash Flow'!$C$10:$Z$10,MAX(1,MIN(24,H5)))*Assumptions!$B$51/Assumptions!$B$50</f>
        <v>17756.9620253165</v>
      </c>
      <c r="I15" s="35" t="n">
        <f aca="false">-INDEX('Monthly Cash Flow'!$C$10:$Z$10,MAX(1,MIN(24,I5)))*Assumptions!$B$51/Assumptions!$B$50</f>
        <v>17756.9620253165</v>
      </c>
      <c r="J15" s="35" t="n">
        <f aca="false">-INDEX('Monthly Cash Flow'!$C$10:$Z$10,MAX(1,MIN(24,J5)))*Assumptions!$B$51/Assumptions!$B$50</f>
        <v>17756.9620253165</v>
      </c>
      <c r="K15" s="35" t="n">
        <f aca="false">-INDEX('Monthly Cash Flow'!$C$10:$Z$10,MAX(1,MIN(24,K5)))*Assumptions!$B$51/Assumptions!$B$50</f>
        <v>17792.4759493671</v>
      </c>
      <c r="L15" s="35" t="n">
        <f aca="false">-INDEX('Monthly Cash Flow'!$C$10:$Z$10,MAX(1,MIN(24,L5)))*Assumptions!$B$51/Assumptions!$B$50</f>
        <v>17792.4759493671</v>
      </c>
      <c r="M15" s="35" t="n">
        <f aca="false">-INDEX('Monthly Cash Flow'!$C$10:$Z$10,MAX(1,MIN(24,M5)))*Assumptions!$B$51/Assumptions!$B$50</f>
        <v>17792.4759493671</v>
      </c>
      <c r="N15" s="35" t="n">
        <f aca="false">-INDEX('Monthly Cash Flow'!$C$10:$Z$10,MAX(1,MIN(24,N5)))*Assumptions!$B$51/Assumptions!$B$50</f>
        <v>17792.4759493671</v>
      </c>
      <c r="O15" s="35" t="n">
        <f aca="false">-INDEX('Monthly Cash Flow'!$C$10:$Z$10,MAX(1,MIN(24,O5)))*Assumptions!$B$51/Assumptions!$B$50</f>
        <v>17792.4759493671</v>
      </c>
    </row>
    <row r="16" customFormat="false" ht="15" hidden="false" customHeight="false" outlineLevel="0" collapsed="false">
      <c r="A16" s="11" t="s">
        <v>573</v>
      </c>
      <c r="C16" s="35" t="n">
        <f aca="false">INDEX('Initiative Cash Flows'!$C$31:$Z$31,MAX(1,MIN(24,C5)))/Assumptions!$B$50</f>
        <v>0</v>
      </c>
      <c r="D16" s="35" t="n">
        <f aca="false">INDEX('Initiative Cash Flows'!$C$31:$Z$31,MAX(1,MIN(24,D5)))/Assumptions!$B$50</f>
        <v>0</v>
      </c>
      <c r="E16" s="35" t="n">
        <f aca="false">INDEX('Initiative Cash Flows'!$C$31:$Z$31,MAX(1,MIN(24,E5)))/Assumptions!$B$50</f>
        <v>0</v>
      </c>
      <c r="F16" s="35" t="n">
        <f aca="false">INDEX('Initiative Cash Flows'!$C$31:$Z$31,MAX(1,MIN(24,F5)))/Assumptions!$B$50</f>
        <v>0</v>
      </c>
      <c r="G16" s="35" t="n">
        <f aca="false">INDEX('Initiative Cash Flows'!$C$31:$Z$31,MAX(1,MIN(24,G5)))/Assumptions!$B$50</f>
        <v>7489.62888377445</v>
      </c>
      <c r="H16" s="35" t="n">
        <f aca="false">INDEX('Initiative Cash Flows'!$C$31:$Z$31,MAX(1,MIN(24,H5)))/Assumptions!$B$50</f>
        <v>7489.62888377445</v>
      </c>
      <c r="I16" s="35" t="n">
        <f aca="false">INDEX('Initiative Cash Flows'!$C$31:$Z$31,MAX(1,MIN(24,I5)))/Assumptions!$B$50</f>
        <v>7489.62888377445</v>
      </c>
      <c r="J16" s="35" t="n">
        <f aca="false">INDEX('Initiative Cash Flows'!$C$31:$Z$31,MAX(1,MIN(24,J5)))/Assumptions!$B$50</f>
        <v>7489.62888377445</v>
      </c>
      <c r="K16" s="35" t="n">
        <f aca="false">INDEX('Initiative Cash Flows'!$C$31:$Z$31,MAX(1,MIN(24,K5)))/Assumptions!$B$50</f>
        <v>2311.26294591484</v>
      </c>
      <c r="L16" s="35" t="n">
        <f aca="false">INDEX('Initiative Cash Flows'!$C$31:$Z$31,MAX(1,MIN(24,L5)))/Assumptions!$B$50</f>
        <v>2311.26294591484</v>
      </c>
      <c r="M16" s="35" t="n">
        <f aca="false">INDEX('Initiative Cash Flows'!$C$31:$Z$31,MAX(1,MIN(24,M5)))/Assumptions!$B$50</f>
        <v>2311.26294591484</v>
      </c>
      <c r="N16" s="35" t="n">
        <f aca="false">INDEX('Initiative Cash Flows'!$C$31:$Z$31,MAX(1,MIN(24,N5)))/Assumptions!$B$50</f>
        <v>2311.26294591484</v>
      </c>
      <c r="O16" s="35" t="n">
        <f aca="false">INDEX('Initiative Cash Flows'!$C$31:$Z$31,MAX(1,MIN(24,O5)))/Assumptions!$B$50</f>
        <v>2311.26294591484</v>
      </c>
    </row>
    <row r="17" customFormat="false" ht="15" hidden="false" customHeight="false" outlineLevel="0" collapsed="false">
      <c r="A17" s="11" t="s">
        <v>574</v>
      </c>
      <c r="C17" s="35" t="n">
        <f aca="false">-INDEX('Monthly Cash Flow'!$C$8:$Z$8,MAX(1,MIN(24,C5-Assumptions!$B$53)))/Assumptions!$B$50</f>
        <v>74798.6191024166</v>
      </c>
      <c r="D17" s="35" t="n">
        <f aca="false">-INDEX('Monthly Cash Flow'!$C$8:$Z$8,MAX(1,MIN(24,D5-Assumptions!$B$53)))/Assumptions!$B$50</f>
        <v>74798.6191024166</v>
      </c>
      <c r="E17" s="35" t="n">
        <f aca="false">-INDEX('Monthly Cash Flow'!$C$8:$Z$8,MAX(1,MIN(24,E5-Assumptions!$B$53)))/Assumptions!$B$50</f>
        <v>74798.6191024166</v>
      </c>
      <c r="F17" s="35" t="n">
        <f aca="false">-INDEX('Monthly Cash Flow'!$C$8:$Z$8,MAX(1,MIN(24,F5-Assumptions!$B$53)))/Assumptions!$B$50</f>
        <v>74798.6191024166</v>
      </c>
      <c r="G17" s="35" t="n">
        <f aca="false">-INDEX('Monthly Cash Flow'!$C$8:$Z$8,MAX(1,MIN(24,G5-Assumptions!$B$53)))/Assumptions!$B$50</f>
        <v>74798.6191024166</v>
      </c>
      <c r="H17" s="35" t="n">
        <f aca="false">-INDEX('Monthly Cash Flow'!$C$8:$Z$8,MAX(1,MIN(24,H5-Assumptions!$B$53)))/Assumptions!$B$50</f>
        <v>74798.6191024166</v>
      </c>
      <c r="I17" s="35" t="n">
        <f aca="false">-INDEX('Monthly Cash Flow'!$C$8:$Z$8,MAX(1,MIN(24,I5-Assumptions!$B$53)))/Assumptions!$B$50</f>
        <v>74798.6191024166</v>
      </c>
      <c r="J17" s="35" t="n">
        <f aca="false">-INDEX('Monthly Cash Flow'!$C$8:$Z$8,MAX(1,MIN(24,J5-Assumptions!$B$53)))/Assumptions!$B$50</f>
        <v>74798.6191024166</v>
      </c>
      <c r="K17" s="35" t="n">
        <f aca="false">-INDEX('Monthly Cash Flow'!$C$8:$Z$8,MAX(1,MIN(24,K5-Assumptions!$B$53)))/Assumptions!$B$50</f>
        <v>75172.6121979287</v>
      </c>
      <c r="L17" s="35" t="n">
        <f aca="false">-INDEX('Monthly Cash Flow'!$C$8:$Z$8,MAX(1,MIN(24,L5-Assumptions!$B$53)))/Assumptions!$B$50</f>
        <v>75172.6121979287</v>
      </c>
      <c r="M17" s="35" t="n">
        <f aca="false">-INDEX('Monthly Cash Flow'!$C$8:$Z$8,MAX(1,MIN(24,M5-Assumptions!$B$53)))/Assumptions!$B$50</f>
        <v>75172.6121979287</v>
      </c>
      <c r="N17" s="35" t="n">
        <f aca="false">-INDEX('Monthly Cash Flow'!$C$8:$Z$8,MAX(1,MIN(24,N5-Assumptions!$B$53)))/Assumptions!$B$50</f>
        <v>75172.6121979287</v>
      </c>
      <c r="O17" s="35" t="n">
        <f aca="false">-INDEX('Monthly Cash Flow'!$C$8:$Z$8,MAX(1,MIN(24,O5-Assumptions!$B$53)))/Assumptions!$B$50</f>
        <v>75172.6121979287</v>
      </c>
    </row>
    <row r="18" customFormat="false" ht="15" hidden="false" customHeight="false" outlineLevel="0" collapsed="false">
      <c r="A18" s="11" t="s">
        <v>575</v>
      </c>
      <c r="C18" s="35" t="n">
        <f aca="false">-INDEX('Monthly Cash Flow'!$C$10:$Z$10,MAX(1,MIN(24,C5)))*(1-Assumptions!$B$51)/Assumptions!$B$50</f>
        <v>14499.4246260069</v>
      </c>
      <c r="D18" s="35" t="n">
        <f aca="false">-INDEX('Monthly Cash Flow'!$C$10:$Z$10,MAX(1,MIN(24,D5)))*(1-Assumptions!$B$51)/Assumptions!$B$50</f>
        <v>14499.4246260069</v>
      </c>
      <c r="E18" s="35" t="n">
        <f aca="false">-INDEX('Monthly Cash Flow'!$C$10:$Z$10,MAX(1,MIN(24,E5)))*(1-Assumptions!$B$51)/Assumptions!$B$50</f>
        <v>14499.4246260069</v>
      </c>
      <c r="F18" s="35" t="n">
        <f aca="false">-INDEX('Monthly Cash Flow'!$C$10:$Z$10,MAX(1,MIN(24,F5)))*(1-Assumptions!$B$51)/Assumptions!$B$50</f>
        <v>14499.4246260069</v>
      </c>
      <c r="G18" s="35" t="n">
        <f aca="false">-INDEX('Monthly Cash Flow'!$C$10:$Z$10,MAX(1,MIN(24,G5)))*(1-Assumptions!$B$51)/Assumptions!$B$50</f>
        <v>14528.4234752589</v>
      </c>
      <c r="H18" s="35" t="n">
        <f aca="false">-INDEX('Monthly Cash Flow'!$C$10:$Z$10,MAX(1,MIN(24,H5)))*(1-Assumptions!$B$51)/Assumptions!$B$50</f>
        <v>14528.4234752589</v>
      </c>
      <c r="I18" s="35" t="n">
        <f aca="false">-INDEX('Monthly Cash Flow'!$C$10:$Z$10,MAX(1,MIN(24,I5)))*(1-Assumptions!$B$51)/Assumptions!$B$50</f>
        <v>14528.4234752589</v>
      </c>
      <c r="J18" s="35" t="n">
        <f aca="false">-INDEX('Monthly Cash Flow'!$C$10:$Z$10,MAX(1,MIN(24,J5)))*(1-Assumptions!$B$51)/Assumptions!$B$50</f>
        <v>14528.4234752589</v>
      </c>
      <c r="K18" s="35" t="n">
        <f aca="false">-INDEX('Monthly Cash Flow'!$C$10:$Z$10,MAX(1,MIN(24,K5)))*(1-Assumptions!$B$51)/Assumptions!$B$50</f>
        <v>14557.4803222094</v>
      </c>
      <c r="L18" s="35" t="n">
        <f aca="false">-INDEX('Monthly Cash Flow'!$C$10:$Z$10,MAX(1,MIN(24,L5)))*(1-Assumptions!$B$51)/Assumptions!$B$50</f>
        <v>14557.4803222094</v>
      </c>
      <c r="M18" s="35" t="n">
        <f aca="false">-INDEX('Monthly Cash Flow'!$C$10:$Z$10,MAX(1,MIN(24,M5)))*(1-Assumptions!$B$51)/Assumptions!$B$50</f>
        <v>14557.4803222094</v>
      </c>
      <c r="N18" s="35" t="n">
        <f aca="false">-INDEX('Monthly Cash Flow'!$C$10:$Z$10,MAX(1,MIN(24,N5)))*(1-Assumptions!$B$51)/Assumptions!$B$50</f>
        <v>14557.4803222094</v>
      </c>
      <c r="O18" s="35" t="n">
        <f aca="false">-INDEX('Monthly Cash Flow'!$C$10:$Z$10,MAX(1,MIN(24,O5)))*(1-Assumptions!$B$51)/Assumptions!$B$50</f>
        <v>14557.4803222094</v>
      </c>
    </row>
    <row r="19" customFormat="false" ht="15" hidden="false" customHeight="false" outlineLevel="0" collapsed="false">
      <c r="A19" s="11" t="s">
        <v>576</v>
      </c>
      <c r="C19" s="35" t="n">
        <f aca="false">INDEX('Initiative Cash Flows'!$C$77:$Z$77,MAX(1,MIN(24,C5)))/Assumptions!$B$50</f>
        <v>0</v>
      </c>
      <c r="D19" s="35" t="n">
        <f aca="false">INDEX('Initiative Cash Flows'!$C$77:$Z$77,MAX(1,MIN(24,D5)))/Assumptions!$B$50</f>
        <v>0</v>
      </c>
      <c r="E19" s="35" t="n">
        <f aca="false">INDEX('Initiative Cash Flows'!$C$77:$Z$77,MAX(1,MIN(24,E5)))/Assumptions!$B$50</f>
        <v>0</v>
      </c>
      <c r="F19" s="35" t="n">
        <f aca="false">INDEX('Initiative Cash Flows'!$C$77:$Z$77,MAX(1,MIN(24,F5)))/Assumptions!$B$50</f>
        <v>0</v>
      </c>
      <c r="G19" s="35" t="n">
        <f aca="false">INDEX('Initiative Cash Flows'!$C$77:$Z$77,MAX(1,MIN(24,G5)))/Assumptions!$B$50</f>
        <v>0</v>
      </c>
      <c r="H19" s="35" t="n">
        <f aca="false">INDEX('Initiative Cash Flows'!$C$77:$Z$77,MAX(1,MIN(24,H5)))/Assumptions!$B$50</f>
        <v>0</v>
      </c>
      <c r="I19" s="35" t="n">
        <f aca="false">INDEX('Initiative Cash Flows'!$C$77:$Z$77,MAX(1,MIN(24,I5)))/Assumptions!$B$50</f>
        <v>0</v>
      </c>
      <c r="J19" s="35" t="n">
        <f aca="false">INDEX('Initiative Cash Flows'!$C$77:$Z$77,MAX(1,MIN(24,J5)))/Assumptions!$B$50</f>
        <v>0</v>
      </c>
      <c r="K19" s="35" t="n">
        <f aca="false">INDEX('Initiative Cash Flows'!$C$77:$Z$77,MAX(1,MIN(24,K5)))/Assumptions!$B$50</f>
        <v>333.716915995397</v>
      </c>
      <c r="L19" s="35" t="n">
        <f aca="false">INDEX('Initiative Cash Flows'!$C$77:$Z$77,MAX(1,MIN(24,L5)))/Assumptions!$B$50</f>
        <v>333.716915995397</v>
      </c>
      <c r="M19" s="35" t="n">
        <f aca="false">INDEX('Initiative Cash Flows'!$C$77:$Z$77,MAX(1,MIN(24,M5)))/Assumptions!$B$50</f>
        <v>333.716915995397</v>
      </c>
      <c r="N19" s="35" t="n">
        <f aca="false">INDEX('Initiative Cash Flows'!$C$77:$Z$77,MAX(1,MIN(24,N5)))/Assumptions!$B$50</f>
        <v>333.716915995397</v>
      </c>
      <c r="O19" s="35" t="n">
        <f aca="false">INDEX('Initiative Cash Flows'!$C$77:$Z$77,MAX(1,MIN(24,O5)))/Assumptions!$B$50</f>
        <v>333.716915995397</v>
      </c>
    </row>
    <row r="20" customFormat="false" ht="15" hidden="false" customHeight="false" outlineLevel="0" collapsed="false">
      <c r="A20" s="11" t="s">
        <v>522</v>
      </c>
      <c r="C20" s="35" t="n">
        <f aca="false">INDEX('Initiative Cash Flows'!$C$99:$Z$99,MAX(1,MIN(24,C5)))/Assumptions!$B$50</f>
        <v>0</v>
      </c>
      <c r="D20" s="35" t="n">
        <f aca="false">INDEX('Initiative Cash Flows'!$C$99:$Z$99,MAX(1,MIN(24,D5)))/Assumptions!$B$50</f>
        <v>0</v>
      </c>
      <c r="E20" s="35" t="n">
        <f aca="false">INDEX('Initiative Cash Flows'!$C$99:$Z$99,MAX(1,MIN(24,E5)))/Assumptions!$B$50</f>
        <v>0</v>
      </c>
      <c r="F20" s="35" t="n">
        <f aca="false">INDEX('Initiative Cash Flows'!$C$99:$Z$99,MAX(1,MIN(24,F5)))/Assumptions!$B$50</f>
        <v>0</v>
      </c>
      <c r="G20" s="35" t="n">
        <f aca="false">INDEX('Initiative Cash Flows'!$C$99:$Z$99,MAX(1,MIN(24,G5)))/Assumptions!$B$50</f>
        <v>0</v>
      </c>
      <c r="H20" s="35" t="n">
        <f aca="false">INDEX('Initiative Cash Flows'!$C$99:$Z$99,MAX(1,MIN(24,H5)))/Assumptions!$B$50</f>
        <v>0</v>
      </c>
      <c r="I20" s="35" t="n">
        <f aca="false">INDEX('Initiative Cash Flows'!$C$99:$Z$99,MAX(1,MIN(24,I5)))/Assumptions!$B$50</f>
        <v>0</v>
      </c>
      <c r="J20" s="35" t="n">
        <f aca="false">INDEX('Initiative Cash Flows'!$C$99:$Z$99,MAX(1,MIN(24,J5)))/Assumptions!$B$50</f>
        <v>0</v>
      </c>
      <c r="K20" s="35" t="n">
        <f aca="false">INDEX('Initiative Cash Flows'!$C$99:$Z$99,MAX(1,MIN(24,K5)))/Assumptions!$B$50</f>
        <v>0</v>
      </c>
      <c r="L20" s="35" t="n">
        <f aca="false">INDEX('Initiative Cash Flows'!$C$99:$Z$99,MAX(1,MIN(24,L5)))/Assumptions!$B$50</f>
        <v>0</v>
      </c>
      <c r="M20" s="35" t="n">
        <f aca="false">INDEX('Initiative Cash Flows'!$C$99:$Z$99,MAX(1,MIN(24,M5)))/Assumptions!$B$50</f>
        <v>0</v>
      </c>
      <c r="N20" s="35" t="n">
        <f aca="false">INDEX('Initiative Cash Flows'!$C$99:$Z$99,MAX(1,MIN(24,N5)))/Assumptions!$B$50</f>
        <v>0</v>
      </c>
      <c r="O20" s="35" t="n">
        <f aca="false">INDEX('Initiative Cash Flows'!$C$99:$Z$99,MAX(1,MIN(24,O5)))/Assumptions!$B$50</f>
        <v>0</v>
      </c>
    </row>
    <row r="21" customFormat="false" ht="15" hidden="false" customHeight="false" outlineLevel="0" collapsed="false">
      <c r="A21" s="11" t="s">
        <v>577</v>
      </c>
      <c r="C21" s="35" t="n">
        <f aca="false">Assumptions!$B$21/Assumptions!$B$50</f>
        <v>2761.79516685846</v>
      </c>
      <c r="D21" s="35" t="n">
        <f aca="false">Assumptions!$B$21/Assumptions!$B$50</f>
        <v>2761.79516685846</v>
      </c>
      <c r="E21" s="35" t="n">
        <f aca="false">Assumptions!$B$21/Assumptions!$B$50</f>
        <v>2761.79516685846</v>
      </c>
      <c r="F21" s="35" t="n">
        <f aca="false">Assumptions!$B$21/Assumptions!$B$50</f>
        <v>2761.79516685846</v>
      </c>
      <c r="G21" s="35" t="n">
        <f aca="false">Assumptions!$B$21/Assumptions!$B$50</f>
        <v>2761.79516685846</v>
      </c>
      <c r="H21" s="35" t="n">
        <f aca="false">Assumptions!$B$21/Assumptions!$B$50</f>
        <v>2761.79516685846</v>
      </c>
      <c r="I21" s="35" t="n">
        <f aca="false">Assumptions!$B$21/Assumptions!$B$50</f>
        <v>2761.79516685846</v>
      </c>
      <c r="J21" s="35" t="n">
        <f aca="false">Assumptions!$B$21/Assumptions!$B$50</f>
        <v>2761.79516685846</v>
      </c>
      <c r="K21" s="35" t="n">
        <f aca="false">Assumptions!$B$21/Assumptions!$B$50</f>
        <v>2761.79516685846</v>
      </c>
      <c r="L21" s="35" t="n">
        <f aca="false">Assumptions!$B$21/Assumptions!$B$50</f>
        <v>2761.79516685846</v>
      </c>
      <c r="M21" s="35" t="n">
        <f aca="false">Assumptions!$B$21/Assumptions!$B$50</f>
        <v>2761.79516685846</v>
      </c>
      <c r="N21" s="35" t="n">
        <f aca="false">Assumptions!$B$21/Assumptions!$B$50</f>
        <v>2761.79516685846</v>
      </c>
      <c r="O21" s="35" t="n">
        <f aca="false">Assumptions!$B$21/Assumptions!$B$50</f>
        <v>2761.79516685846</v>
      </c>
    </row>
    <row r="22" customFormat="false" ht="15" hidden="false" customHeight="false" outlineLevel="0" collapsed="false">
      <c r="A22" s="11" t="s">
        <v>578</v>
      </c>
      <c r="C22" s="35" t="n">
        <f aca="false">INDEX('Initiative Cash Flows'!$C$74:$Z$74,MAX(1,MIN(24,C5)))/Assumptions!$B$50</f>
        <v>0</v>
      </c>
      <c r="D22" s="35" t="n">
        <f aca="false">INDEX('Initiative Cash Flows'!$C$74:$Z$74,MAX(1,MIN(24,D5)))/Assumptions!$B$50</f>
        <v>0</v>
      </c>
      <c r="E22" s="35" t="n">
        <f aca="false">INDEX('Initiative Cash Flows'!$C$74:$Z$74,MAX(1,MIN(24,E5)))/Assumptions!$B$50</f>
        <v>0</v>
      </c>
      <c r="F22" s="35" t="n">
        <f aca="false">INDEX('Initiative Cash Flows'!$C$74:$Z$74,MAX(1,MIN(24,F5)))/Assumptions!$B$50</f>
        <v>0</v>
      </c>
      <c r="G22" s="35" t="n">
        <f aca="false">INDEX('Initiative Cash Flows'!$C$74:$Z$74,MAX(1,MIN(24,G5)))/Assumptions!$B$50</f>
        <v>0</v>
      </c>
      <c r="H22" s="35" t="n">
        <f aca="false">INDEX('Initiative Cash Flows'!$C$74:$Z$74,MAX(1,MIN(24,H5)))/Assumptions!$B$50</f>
        <v>0</v>
      </c>
      <c r="I22" s="35" t="n">
        <f aca="false">INDEX('Initiative Cash Flows'!$C$74:$Z$74,MAX(1,MIN(24,I5)))/Assumptions!$B$50</f>
        <v>0</v>
      </c>
      <c r="J22" s="35" t="n">
        <f aca="false">INDEX('Initiative Cash Flows'!$C$74:$Z$74,MAX(1,MIN(24,J5)))/Assumptions!$B$50</f>
        <v>0</v>
      </c>
      <c r="K22" s="35" t="n">
        <f aca="false">INDEX('Initiative Cash Flows'!$C$74:$Z$74,MAX(1,MIN(24,K5)))/Assumptions!$B$50</f>
        <v>799.016194485225</v>
      </c>
      <c r="L22" s="35" t="n">
        <f aca="false">INDEX('Initiative Cash Flows'!$C$74:$Z$74,MAX(1,MIN(24,L5)))/Assumptions!$B$50</f>
        <v>799.016194485225</v>
      </c>
      <c r="M22" s="35" t="n">
        <f aca="false">INDEX('Initiative Cash Flows'!$C$74:$Z$74,MAX(1,MIN(24,M5)))/Assumptions!$B$50</f>
        <v>799.016194485225</v>
      </c>
      <c r="N22" s="35" t="n">
        <f aca="false">INDEX('Initiative Cash Flows'!$C$74:$Z$74,MAX(1,MIN(24,N5)))/Assumptions!$B$50</f>
        <v>799.016194485225</v>
      </c>
      <c r="O22" s="35" t="n">
        <f aca="false">INDEX('Initiative Cash Flows'!$C$74:$Z$74,MAX(1,MIN(24,O5)))/Assumptions!$B$50</f>
        <v>799.016194485225</v>
      </c>
    </row>
    <row r="23" customFormat="false" ht="15" hidden="false" customHeight="false" outlineLevel="0" collapsed="false">
      <c r="A23" s="11" t="s">
        <v>541</v>
      </c>
      <c r="C23" s="35" t="n">
        <f aca="false">INDEX('Initiative Cash Flows'!$C$72:$Z$72,MAX(1,MIN(24,C5)))</f>
        <v>0</v>
      </c>
      <c r="D23" s="35" t="n">
        <f aca="false">IF(D5&lt;&gt;C5,INDEX('Initiative Cash Flows'!$C$72:$Z$72,MAX(1,MIN(24,D5))),0)</f>
        <v>0</v>
      </c>
      <c r="E23" s="35" t="n">
        <f aca="false">IF(E5&lt;&gt;D5,INDEX('Initiative Cash Flows'!$C$72:$Z$72,MAX(1,MIN(24,E5))),0)</f>
        <v>0</v>
      </c>
      <c r="F23" s="35" t="n">
        <f aca="false">IF(F5&lt;&gt;E5,INDEX('Initiative Cash Flows'!$C$72:$Z$72,MAX(1,MIN(24,F5))),0)</f>
        <v>0</v>
      </c>
      <c r="G23" s="35" t="n">
        <f aca="false">IF(G5&lt;&gt;F5,INDEX('Initiative Cash Flows'!$C$72:$Z$72,MAX(1,MIN(24,G5))),0)</f>
        <v>0</v>
      </c>
      <c r="H23" s="35" t="n">
        <f aca="false">IF(H5&lt;&gt;G5,INDEX('Initiative Cash Flows'!$C$72:$Z$72,MAX(1,MIN(24,H5))),0)</f>
        <v>0</v>
      </c>
      <c r="I23" s="35" t="n">
        <f aca="false">IF(I5&lt;&gt;H5,INDEX('Initiative Cash Flows'!$C$72:$Z$72,MAX(1,MIN(24,I5))),0)</f>
        <v>0</v>
      </c>
      <c r="J23" s="35" t="n">
        <f aca="false">IF(J5&lt;&gt;I5,INDEX('Initiative Cash Flows'!$C$72:$Z$72,MAX(1,MIN(24,J5))),0)</f>
        <v>0</v>
      </c>
      <c r="K23" s="35" t="n">
        <f aca="false">IF(K5&lt;&gt;J5,INDEX('Initiative Cash Flows'!$C$72:$Z$72,MAX(1,MIN(24,K5))),0)</f>
        <v>42304</v>
      </c>
      <c r="L23" s="35" t="n">
        <f aca="false">IF(L5&lt;&gt;K5,INDEX('Initiative Cash Flows'!$C$72:$Z$72,MAX(1,MIN(24,L5))),0)</f>
        <v>0</v>
      </c>
      <c r="M23" s="35" t="n">
        <f aca="false">IF(M5&lt;&gt;L5,INDEX('Initiative Cash Flows'!$C$72:$Z$72,MAX(1,MIN(24,M5))),0)</f>
        <v>0</v>
      </c>
      <c r="N23" s="35" t="n">
        <f aca="false">IF(N5&lt;&gt;M5,INDEX('Initiative Cash Flows'!$C$72:$Z$72,MAX(1,MIN(24,N5))),0)</f>
        <v>0</v>
      </c>
      <c r="O23" s="35" t="n">
        <f aca="false">IF(O5&lt;&gt;N5,INDEX('Initiative Cash Flows'!$C$72:$Z$72,MAX(1,MIN(24,O5))),0)</f>
        <v>0</v>
      </c>
    </row>
    <row r="24" customFormat="false" ht="15" hidden="false" customHeight="false" outlineLevel="0" collapsed="false">
      <c r="A24" s="11" t="s">
        <v>579</v>
      </c>
      <c r="C24" s="35" t="n">
        <f aca="false">-INDEX('Monthly Cash Flow'!$C$30:$Z$30,MAX(1,MIN(24,C5)))/Assumptions!$B$50</f>
        <v>1265.82278481013</v>
      </c>
      <c r="D24" s="35" t="n">
        <f aca="false">-INDEX('Monthly Cash Flow'!$C$30:$Z$30,MAX(1,MIN(24,D5)))/Assumptions!$B$50</f>
        <v>1265.82278481013</v>
      </c>
      <c r="E24" s="35" t="n">
        <f aca="false">-INDEX('Monthly Cash Flow'!$C$30:$Z$30,MAX(1,MIN(24,E5)))/Assumptions!$B$50</f>
        <v>1265.82278481013</v>
      </c>
      <c r="F24" s="35" t="n">
        <f aca="false">-INDEX('Monthly Cash Flow'!$C$30:$Z$30,MAX(1,MIN(24,F5)))/Assumptions!$B$50</f>
        <v>1265.82278481013</v>
      </c>
      <c r="G24" s="35" t="n">
        <f aca="false">-INDEX('Monthly Cash Flow'!$C$30:$Z$30,MAX(1,MIN(24,G5)))/Assumptions!$B$50</f>
        <v>0</v>
      </c>
      <c r="H24" s="35" t="n">
        <f aca="false">-INDEX('Monthly Cash Flow'!$C$30:$Z$30,MAX(1,MIN(24,H5)))/Assumptions!$B$50</f>
        <v>0</v>
      </c>
      <c r="I24" s="35" t="n">
        <f aca="false">-INDEX('Monthly Cash Flow'!$C$30:$Z$30,MAX(1,MIN(24,I5)))/Assumptions!$B$50</f>
        <v>0</v>
      </c>
      <c r="J24" s="35" t="n">
        <f aca="false">-INDEX('Monthly Cash Flow'!$C$30:$Z$30,MAX(1,MIN(24,J5)))/Assumptions!$B$50</f>
        <v>0</v>
      </c>
      <c r="K24" s="35" t="n">
        <f aca="false">-INDEX('Monthly Cash Flow'!$C$30:$Z$30,MAX(1,MIN(24,K5)))/Assumptions!$B$50</f>
        <v>79.8163757831446</v>
      </c>
      <c r="L24" s="35" t="n">
        <f aca="false">-INDEX('Monthly Cash Flow'!$C$30:$Z$30,MAX(1,MIN(24,L5)))/Assumptions!$B$50</f>
        <v>79.8163757831446</v>
      </c>
      <c r="M24" s="35" t="n">
        <f aca="false">-INDEX('Monthly Cash Flow'!$C$30:$Z$30,MAX(1,MIN(24,M5)))/Assumptions!$B$50</f>
        <v>79.8163757831446</v>
      </c>
      <c r="N24" s="35" t="n">
        <f aca="false">-INDEX('Monthly Cash Flow'!$C$30:$Z$30,MAX(1,MIN(24,N5)))/Assumptions!$B$50</f>
        <v>79.8163757831446</v>
      </c>
      <c r="O24" s="35" t="n">
        <f aca="false">-INDEX('Monthly Cash Flow'!$C$30:$Z$30,MAX(1,MIN(24,O5)))/Assumptions!$B$50</f>
        <v>79.8163757831446</v>
      </c>
    </row>
    <row r="25" customFormat="false" ht="15" hidden="false" customHeight="false" outlineLevel="0" collapsed="false">
      <c r="A25" s="11" t="s">
        <v>580</v>
      </c>
      <c r="C25" s="40" t="n">
        <f aca="false">0</f>
        <v>0</v>
      </c>
      <c r="D25" s="40" t="n">
        <f aca="false">0</f>
        <v>0</v>
      </c>
      <c r="E25" s="40" t="n">
        <f aca="false">0</f>
        <v>0</v>
      </c>
      <c r="F25" s="40" t="n">
        <f aca="false">0</f>
        <v>0</v>
      </c>
      <c r="G25" s="40" t="n">
        <f aca="false">0</f>
        <v>0</v>
      </c>
      <c r="H25" s="40" t="n">
        <f aca="false">0</f>
        <v>0</v>
      </c>
      <c r="I25" s="40" t="n">
        <f aca="false">0</f>
        <v>0</v>
      </c>
      <c r="J25" s="40" t="n">
        <f aca="false">0</f>
        <v>0</v>
      </c>
      <c r="K25" s="40" t="n">
        <f aca="false">0</f>
        <v>0</v>
      </c>
      <c r="L25" s="40" t="n">
        <f aca="false">0</f>
        <v>0</v>
      </c>
      <c r="M25" s="40" t="n">
        <f aca="false">0</f>
        <v>0</v>
      </c>
      <c r="N25" s="40" t="n">
        <f aca="false">0</f>
        <v>0</v>
      </c>
      <c r="O25" s="40" t="n">
        <f aca="false">0</f>
        <v>0</v>
      </c>
    </row>
    <row r="26" customFormat="false" ht="15" hidden="false" customHeight="false" outlineLevel="0" collapsed="false">
      <c r="A26" s="6" t="s">
        <v>581</v>
      </c>
      <c r="C26" s="37" t="n">
        <f aca="false">SUM(C15:C25)</f>
        <v>111047.180667434</v>
      </c>
      <c r="D26" s="37" t="n">
        <f aca="false">SUM(D15:D25)</f>
        <v>111047.180667434</v>
      </c>
      <c r="E26" s="37" t="n">
        <f aca="false">SUM(E15:E25)</f>
        <v>111047.180667434</v>
      </c>
      <c r="F26" s="37" t="n">
        <f aca="false">SUM(F15:F25)</f>
        <v>111047.180667434</v>
      </c>
      <c r="G26" s="37" t="n">
        <f aca="false">SUM(G15:G25)</f>
        <v>117335.428653625</v>
      </c>
      <c r="H26" s="37" t="n">
        <f aca="false">SUM(H15:H25)</f>
        <v>117335.428653625</v>
      </c>
      <c r="I26" s="37" t="n">
        <f aca="false">SUM(I15:I25)</f>
        <v>117335.428653625</v>
      </c>
      <c r="J26" s="37" t="n">
        <f aca="false">SUM(J15:J25)</f>
        <v>117335.428653625</v>
      </c>
      <c r="K26" s="37" t="n">
        <f aca="false">SUM(K15:K25)</f>
        <v>156112.176068542</v>
      </c>
      <c r="L26" s="37" t="n">
        <f aca="false">SUM(L15:L25)</f>
        <v>113808.176068542</v>
      </c>
      <c r="M26" s="37" t="n">
        <f aca="false">SUM(M15:M25)</f>
        <v>113808.176068542</v>
      </c>
      <c r="N26" s="37" t="n">
        <f aca="false">SUM(N15:N25)</f>
        <v>113808.176068542</v>
      </c>
      <c r="O26" s="37" t="n">
        <f aca="false">SUM(O15:O25)</f>
        <v>113808.176068542</v>
      </c>
    </row>
    <row r="28" customFormat="false" ht="15" hidden="false" customHeight="false" outlineLevel="0" collapsed="false">
      <c r="A28" s="6" t="s">
        <v>582</v>
      </c>
      <c r="C28" s="37" t="n">
        <f aca="false">C12-C26</f>
        <v>4027.6179516686</v>
      </c>
      <c r="D28" s="37" t="n">
        <f aca="false">D12-D26</f>
        <v>4027.6179516686</v>
      </c>
      <c r="E28" s="37" t="n">
        <f aca="false">E12-E26</f>
        <v>4027.6179516686</v>
      </c>
      <c r="F28" s="37" t="n">
        <f aca="false">F12-F26</f>
        <v>4027.6179516686</v>
      </c>
      <c r="G28" s="37" t="n">
        <f aca="false">G12-G26</f>
        <v>-1655.20873289859</v>
      </c>
      <c r="H28" s="37" t="n">
        <f aca="false">H12-H26</f>
        <v>-1655.20873289859</v>
      </c>
      <c r="I28" s="37" t="n">
        <f aca="false">I12-I26</f>
        <v>-1655.20873289859</v>
      </c>
      <c r="J28" s="37" t="n">
        <f aca="false">J12-J26</f>
        <v>-1655.20873289859</v>
      </c>
      <c r="K28" s="37" t="n">
        <f aca="false">K12-K26</f>
        <v>130712.825337927</v>
      </c>
      <c r="L28" s="37" t="n">
        <f aca="false">L12-L26</f>
        <v>3800.8253379275</v>
      </c>
      <c r="M28" s="37" t="n">
        <f aca="false">M12-M26</f>
        <v>3800.8253379275</v>
      </c>
      <c r="N28" s="37" t="n">
        <f aca="false">N12-N26</f>
        <v>3800.8253379275</v>
      </c>
      <c r="O28" s="37" t="n">
        <f aca="false">O12-O26</f>
        <v>3800.8253379275</v>
      </c>
    </row>
    <row r="29" customFormat="false" ht="15" hidden="false" customHeight="false" outlineLevel="0" collapsed="false">
      <c r="A29" s="11" t="s">
        <v>549</v>
      </c>
      <c r="C29" s="35" t="n">
        <f aca="false">Assumptions!$B$19</f>
        <v>250000</v>
      </c>
      <c r="D29" s="35" t="n">
        <f aca="false">C30</f>
        <v>254027.617951669</v>
      </c>
      <c r="E29" s="35" t="n">
        <f aca="false">D30</f>
        <v>258055.235903337</v>
      </c>
      <c r="F29" s="35" t="n">
        <f aca="false">E30</f>
        <v>262082.853855006</v>
      </c>
      <c r="G29" s="35" t="n">
        <f aca="false">F30</f>
        <v>266110.471806674</v>
      </c>
      <c r="H29" s="35" t="n">
        <f aca="false">G30</f>
        <v>264455.263073776</v>
      </c>
      <c r="I29" s="35" t="n">
        <f aca="false">H30</f>
        <v>262800.054340877</v>
      </c>
      <c r="J29" s="35" t="n">
        <f aca="false">I30</f>
        <v>261144.845607979</v>
      </c>
      <c r="K29" s="35" t="n">
        <f aca="false">J30</f>
        <v>259489.63687508</v>
      </c>
      <c r="L29" s="35" t="n">
        <f aca="false">K30</f>
        <v>390202.462213008</v>
      </c>
      <c r="M29" s="35" t="n">
        <f aca="false">L30</f>
        <v>394003.287550935</v>
      </c>
      <c r="N29" s="35" t="n">
        <f aca="false">M30</f>
        <v>397804.112888863</v>
      </c>
      <c r="O29" s="35" t="n">
        <f aca="false">N30</f>
        <v>401604.93822679</v>
      </c>
    </row>
    <row r="30" customFormat="false" ht="15" hidden="false" customHeight="false" outlineLevel="0" collapsed="false">
      <c r="A30" s="6" t="s">
        <v>550</v>
      </c>
      <c r="C30" s="37" t="n">
        <f aca="false">C29+C28</f>
        <v>254027.617951669</v>
      </c>
      <c r="D30" s="37" t="n">
        <f aca="false">D29+D28</f>
        <v>258055.235903337</v>
      </c>
      <c r="E30" s="37" t="n">
        <f aca="false">E29+E28</f>
        <v>262082.853855006</v>
      </c>
      <c r="F30" s="37" t="n">
        <f aca="false">F29+F28</f>
        <v>266110.471806674</v>
      </c>
      <c r="G30" s="37" t="n">
        <f aca="false">G29+G28</f>
        <v>264455.263073776</v>
      </c>
      <c r="H30" s="37" t="n">
        <f aca="false">H29+H28</f>
        <v>262800.054340877</v>
      </c>
      <c r="I30" s="37" t="n">
        <f aca="false">I29+I28</f>
        <v>261144.845607979</v>
      </c>
      <c r="J30" s="37" t="n">
        <f aca="false">J29+J28</f>
        <v>259489.63687508</v>
      </c>
      <c r="K30" s="37" t="n">
        <f aca="false">K29+K28</f>
        <v>390202.462213008</v>
      </c>
      <c r="L30" s="37" t="n">
        <f aca="false">L29+L28</f>
        <v>394003.287550935</v>
      </c>
      <c r="M30" s="37" t="n">
        <f aca="false">M29+M28</f>
        <v>397804.112888863</v>
      </c>
      <c r="N30" s="37" t="n">
        <f aca="false">N29+N28</f>
        <v>401604.93822679</v>
      </c>
      <c r="O30" s="37" t="n">
        <f aca="false">O29+O28</f>
        <v>405405.763564718</v>
      </c>
    </row>
    <row r="31" customFormat="false" ht="15" hidden="false" customHeight="false" outlineLevel="0" collapsed="false">
      <c r="A31" s="11" t="s">
        <v>85</v>
      </c>
      <c r="C31" s="35" t="n">
        <f aca="false">Assumptions!$B$20</f>
        <v>150000</v>
      </c>
      <c r="D31" s="35" t="n">
        <f aca="false">Assumptions!$B$20</f>
        <v>150000</v>
      </c>
      <c r="E31" s="35" t="n">
        <f aca="false">Assumptions!$B$20</f>
        <v>150000</v>
      </c>
      <c r="F31" s="35" t="n">
        <f aca="false">Assumptions!$B$20</f>
        <v>150000</v>
      </c>
      <c r="G31" s="35" t="n">
        <f aca="false">Assumptions!$B$20</f>
        <v>150000</v>
      </c>
      <c r="H31" s="35" t="n">
        <f aca="false">Assumptions!$B$20</f>
        <v>150000</v>
      </c>
      <c r="I31" s="35" t="n">
        <f aca="false">Assumptions!$B$20</f>
        <v>150000</v>
      </c>
      <c r="J31" s="35" t="n">
        <f aca="false">Assumptions!$B$20</f>
        <v>150000</v>
      </c>
      <c r="K31" s="35" t="n">
        <f aca="false">Assumptions!$B$20</f>
        <v>150000</v>
      </c>
      <c r="L31" s="35" t="n">
        <f aca="false">Assumptions!$B$20</f>
        <v>150000</v>
      </c>
      <c r="M31" s="35" t="n">
        <f aca="false">Assumptions!$B$20</f>
        <v>150000</v>
      </c>
      <c r="N31" s="35" t="n">
        <f aca="false">Assumptions!$B$20</f>
        <v>150000</v>
      </c>
      <c r="O31" s="35" t="n">
        <f aca="false">Assumptions!$B$20</f>
        <v>150000</v>
      </c>
    </row>
    <row r="32" customFormat="false" ht="15" hidden="false" customHeight="false" outlineLevel="0" collapsed="false">
      <c r="A32" s="6" t="s">
        <v>551</v>
      </c>
      <c r="C32" s="37" t="n">
        <f aca="false">C30-C31</f>
        <v>104027.617951669</v>
      </c>
      <c r="D32" s="37" t="n">
        <f aca="false">D30-D31</f>
        <v>108055.235903337</v>
      </c>
      <c r="E32" s="37" t="n">
        <f aca="false">E30-E31</f>
        <v>112082.853855006</v>
      </c>
      <c r="F32" s="37" t="n">
        <f aca="false">F30-F31</f>
        <v>116110.471806674</v>
      </c>
      <c r="G32" s="37" t="n">
        <f aca="false">G30-G31</f>
        <v>114455.263073776</v>
      </c>
      <c r="H32" s="37" t="n">
        <f aca="false">H30-H31</f>
        <v>112800.054340877</v>
      </c>
      <c r="I32" s="37" t="n">
        <f aca="false">I30-I31</f>
        <v>111144.845607979</v>
      </c>
      <c r="J32" s="37" t="n">
        <f aca="false">J30-J31</f>
        <v>109489.63687508</v>
      </c>
      <c r="K32" s="37" t="n">
        <f aca="false">K30-K31</f>
        <v>240202.462213008</v>
      </c>
      <c r="L32" s="37" t="n">
        <f aca="false">L30-L31</f>
        <v>244003.287550935</v>
      </c>
      <c r="M32" s="37" t="n">
        <f aca="false">M30-M31</f>
        <v>247804.112888863</v>
      </c>
      <c r="N32" s="37" t="n">
        <f aca="false">N30-N31</f>
        <v>251604.93822679</v>
      </c>
      <c r="O32" s="37" t="n">
        <f aca="false">O30-O31</f>
        <v>255405.763564718</v>
      </c>
    </row>
    <row r="33" customFormat="false" ht="15" hidden="false" customHeight="false" outlineLevel="0" collapsed="false">
      <c r="A33" s="11" t="s">
        <v>553</v>
      </c>
      <c r="C33" s="35" t="n">
        <f aca="false">C30+Assumptions!$B$23</f>
        <v>504027.617951669</v>
      </c>
      <c r="D33" s="35" t="n">
        <f aca="false">D30+Assumptions!$B$23</f>
        <v>508055.235903337</v>
      </c>
      <c r="E33" s="35" t="n">
        <f aca="false">E30+Assumptions!$B$23</f>
        <v>512082.853855006</v>
      </c>
      <c r="F33" s="35" t="n">
        <f aca="false">F30+Assumptions!$B$23</f>
        <v>516110.471806674</v>
      </c>
      <c r="G33" s="35" t="n">
        <f aca="false">G30+Assumptions!$B$23</f>
        <v>514455.263073776</v>
      </c>
      <c r="H33" s="35" t="n">
        <f aca="false">H30+Assumptions!$B$23</f>
        <v>512800.054340877</v>
      </c>
      <c r="I33" s="35" t="n">
        <f aca="false">I30+Assumptions!$B$23</f>
        <v>511144.845607979</v>
      </c>
      <c r="J33" s="35" t="n">
        <f aca="false">J30+Assumptions!$B$23</f>
        <v>509489.63687508</v>
      </c>
      <c r="K33" s="35" t="n">
        <f aca="false">K30+Assumptions!$B$23</f>
        <v>640202.462213008</v>
      </c>
      <c r="L33" s="35" t="n">
        <f aca="false">L30+Assumptions!$B$23</f>
        <v>644003.287550935</v>
      </c>
      <c r="M33" s="35" t="n">
        <f aca="false">M30+Assumptions!$B$23</f>
        <v>647804.112888863</v>
      </c>
      <c r="N33" s="35" t="n">
        <f aca="false">N30+Assumptions!$B$23</f>
        <v>651604.93822679</v>
      </c>
      <c r="O33" s="35" t="n">
        <f aca="false">O30+Assumptions!$B$23</f>
        <v>655405.763564718</v>
      </c>
    </row>
    <row r="35" customFormat="false" ht="15" hidden="false" customHeight="false" outlineLevel="0" collapsed="false">
      <c r="A35" s="13" t="s">
        <v>583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10"/>
    <col collapsed="false" customWidth="true" hidden="false" outlineLevel="0" max="8" min="4" style="0" width="15"/>
    <col collapsed="false" customWidth="true" hidden="false" outlineLevel="0" max="9" min="9" style="0" width="12"/>
    <col collapsed="false" customWidth="true" hidden="false" outlineLevel="0" max="10" min="10" style="0" width="13"/>
    <col collapsed="false" customWidth="true" hidden="false" outlineLevel="0" max="11" min="11" style="0" width="15"/>
    <col collapsed="false" customWidth="true" hidden="false" outlineLevel="0" max="12" min="12" style="0" width="13"/>
    <col collapsed="false" customWidth="true" hidden="false" outlineLevel="0" max="13" min="13" style="0" width="17"/>
    <col collapsed="false" customWidth="true" hidden="false" outlineLevel="0" max="14" min="14" style="0" width="11"/>
  </cols>
  <sheetData>
    <row r="1" customFormat="false" ht="17.35" hidden="false" customHeight="false" outlineLevel="0" collapsed="false">
      <c r="A1" s="10" t="s">
        <v>584</v>
      </c>
    </row>
    <row r="2" customFormat="false" ht="15" hidden="false" customHeight="false" outlineLevel="0" collapsed="false">
      <c r="A2" s="3" t="s">
        <v>585</v>
      </c>
    </row>
    <row r="4" customFormat="false" ht="30" hidden="false" customHeight="true" outlineLevel="0" collapsed="false">
      <c r="A4" s="45" t="s">
        <v>586</v>
      </c>
      <c r="B4" s="45" t="s">
        <v>330</v>
      </c>
      <c r="C4" s="45" t="s">
        <v>587</v>
      </c>
      <c r="D4" s="45" t="s">
        <v>588</v>
      </c>
      <c r="E4" s="45" t="s">
        <v>589</v>
      </c>
      <c r="F4" s="45" t="s">
        <v>590</v>
      </c>
      <c r="G4" s="45" t="s">
        <v>591</v>
      </c>
      <c r="H4" s="45" t="s">
        <v>592</v>
      </c>
      <c r="I4" s="45" t="s">
        <v>593</v>
      </c>
      <c r="J4" s="45" t="s">
        <v>594</v>
      </c>
      <c r="K4" s="45" t="s">
        <v>595</v>
      </c>
      <c r="L4" s="45" t="s">
        <v>596</v>
      </c>
      <c r="M4" s="45" t="s">
        <v>597</v>
      </c>
      <c r="N4" s="45" t="s">
        <v>598</v>
      </c>
    </row>
    <row r="5" customFormat="false" ht="15" hidden="false" customHeight="false" outlineLevel="0" collapsed="false">
      <c r="A5" s="4" t="s">
        <v>352</v>
      </c>
      <c r="B5" s="5"/>
      <c r="C5" s="5"/>
      <c r="D5" s="5"/>
      <c r="E5" s="5"/>
      <c r="F5" s="5"/>
      <c r="G5" s="5"/>
      <c r="H5" s="5"/>
      <c r="I5" s="5"/>
      <c r="J5" s="5"/>
      <c r="K5" s="5"/>
      <c r="L5" s="5"/>
      <c r="M5" s="5"/>
      <c r="N5" s="5"/>
    </row>
    <row r="6" customFormat="false" ht="15" hidden="false" customHeight="false" outlineLevel="0" collapsed="false">
      <c r="A6" s="46" t="str">
        <f aca="false">IF('Hire Analysis'!C5="","",'Hire Analysis'!C5)</f>
        <v>Project Manager</v>
      </c>
      <c r="B6" s="47" t="s">
        <v>599</v>
      </c>
      <c r="C6" s="48" t="str">
        <f aca="false">'Hire Analysis'!C7</f>
        <v>Yes</v>
      </c>
      <c r="D6" s="26" t="n">
        <f aca="false">SUM('Initiative Cash Flows'!$C$8:$Z$8)</f>
        <v>22500</v>
      </c>
      <c r="E6" s="26" t="n">
        <f aca="false">SUM('Initiative Cash Flows'!$C$7:$Z$7)+SUM('Initiative Cash Flows'!$C$8:$Z$8)</f>
        <v>253476.0625</v>
      </c>
      <c r="F6" s="26" t="n">
        <f aca="false">SUM('Initiative Cash Flows'!$C$9:$Z$9)</f>
        <v>323558.333333333</v>
      </c>
      <c r="G6" s="26" t="n">
        <f aca="false">SUM('Initiative Cash Flows'!$C$10:$Z$10)</f>
        <v>70082.2708333333</v>
      </c>
      <c r="H6" s="26" t="n">
        <f aca="false">SUM('Initiative Cash Flows'!$C$10:$N$10)</f>
        <v>1191.52083333334</v>
      </c>
      <c r="I6" s="28" t="n">
        <f aca="false">IF($E6=0,"-",$G6/$E6)</f>
        <v>0.276484769970471</v>
      </c>
      <c r="J6" s="49" t="n">
        <f aca="false">IF($E6=0,"-",IF('Initiative Cash Flows'!$Z$129&lt;0,"&gt;24 mo",SUMPRODUCT(MAX(('Initiative Cash Flows'!$C$129:$Z$129&lt;0)*'Initiative Cash Flows'!$C$3:$Z$3))+1))</f>
        <v>12</v>
      </c>
      <c r="K6" s="26" t="n">
        <f aca="false">IF($E6=0,"-",NPV(Assumptions!$B$9,'Initiative Cash Flows'!$C$148:$Z$148))</f>
        <v>77009.3393248073</v>
      </c>
      <c r="L6" s="28" t="n">
        <f aca="false">IF($E6=0,"-",IFERROR((1+IRR('Initiative Cash Flows'!$C$148:$Z$148))^12-1,"n/a"))</f>
        <v>2.69842963988148</v>
      </c>
      <c r="M6" s="50" t="n">
        <f aca="false">'Hire Analysis'!C59</f>
        <v>344312.142857143</v>
      </c>
      <c r="N6" s="51" t="str">
        <f aca="false">IF($E6=0,"-",IF(AND(ISNUMBER($K6),$K6&gt;0),IF(AND(ISNUMBER($J6),$J6&lt;=12),"GO","WATCH"),"NO-GO"))</f>
        <v>GO</v>
      </c>
    </row>
    <row r="7" customFormat="false" ht="15" hidden="false" customHeight="false" outlineLevel="0" collapsed="false">
      <c r="A7" s="46" t="str">
        <f aca="false">IF('Hire Analysis'!D5="","",'Hire Analysis'!D5)</f>
        <v/>
      </c>
      <c r="B7" s="47" t="s">
        <v>599</v>
      </c>
      <c r="C7" s="48" t="str">
        <f aca="false">'Hire Analysis'!D7</f>
        <v>No</v>
      </c>
      <c r="D7" s="26" t="n">
        <f aca="false">SUM('Initiative Cash Flows'!$C$12:$Z$12)</f>
        <v>0</v>
      </c>
      <c r="E7" s="26" t="n">
        <f aca="false">SUM('Initiative Cash Flows'!$C$11:$Z$11)+SUM('Initiative Cash Flows'!$C$12:$Z$12)</f>
        <v>0</v>
      </c>
      <c r="F7" s="26" t="n">
        <f aca="false">SUM('Initiative Cash Flows'!$C$13:$Z$13)</f>
        <v>0</v>
      </c>
      <c r="G7" s="26" t="n">
        <f aca="false">SUM('Initiative Cash Flows'!$C$14:$Z$14)</f>
        <v>0</v>
      </c>
      <c r="H7" s="26" t="n">
        <f aca="false">SUM('Initiative Cash Flows'!$C$14:$N$14)</f>
        <v>0</v>
      </c>
      <c r="I7" s="28" t="str">
        <f aca="false">IF($E7=0,"-",$G7/$E7)</f>
        <v>-</v>
      </c>
      <c r="J7" s="49" t="str">
        <f aca="false">IF($E7=0,"-",IF('Initiative Cash Flows'!$Z$130&lt;0,"&gt;24 mo",SUMPRODUCT(MAX(('Initiative Cash Flows'!$C$130:$Z$130&lt;0)*'Initiative Cash Flows'!$C$3:$Z$3))+1))</f>
        <v>-</v>
      </c>
      <c r="K7" s="26" t="str">
        <f aca="false">IF($E7=0,"-",NPV(Assumptions!$B$9,'Initiative Cash Flows'!$C$149:$Z$149))</f>
        <v>-</v>
      </c>
      <c r="L7" s="28" t="str">
        <f aca="false">IF($E7=0,"-",IFERROR((1+IRR('Initiative Cash Flows'!$C$149:$Z$149))^12-1,"n/a"))</f>
        <v>-</v>
      </c>
      <c r="M7" s="50" t="str">
        <f aca="false">'Hire Analysis'!D59</f>
        <v>n/a</v>
      </c>
      <c r="N7" s="51" t="str">
        <f aca="false">IF($E7=0,"-",IF(AND(ISNUMBER($K7),$K7&gt;0),IF(AND(ISNUMBER($J7),$J7&lt;=12),"GO","WATCH"),"NO-GO"))</f>
        <v>-</v>
      </c>
    </row>
    <row r="8" customFormat="false" ht="15" hidden="false" customHeight="false" outlineLevel="0" collapsed="false">
      <c r="A8" s="46" t="str">
        <f aca="false">IF('Hire Analysis'!E5="","",'Hire Analysis'!E5)</f>
        <v/>
      </c>
      <c r="B8" s="47" t="s">
        <v>599</v>
      </c>
      <c r="C8" s="48" t="str">
        <f aca="false">'Hire Analysis'!E7</f>
        <v>No</v>
      </c>
      <c r="D8" s="26" t="n">
        <f aca="false">SUM('Initiative Cash Flows'!$C$16:$Z$16)</f>
        <v>0</v>
      </c>
      <c r="E8" s="26" t="n">
        <f aca="false">SUM('Initiative Cash Flows'!$C$15:$Z$15)+SUM('Initiative Cash Flows'!$C$16:$Z$16)</f>
        <v>0</v>
      </c>
      <c r="F8" s="26" t="n">
        <f aca="false">SUM('Initiative Cash Flows'!$C$17:$Z$17)</f>
        <v>0</v>
      </c>
      <c r="G8" s="26" t="n">
        <f aca="false">SUM('Initiative Cash Flows'!$C$18:$Z$18)</f>
        <v>0</v>
      </c>
      <c r="H8" s="26" t="n">
        <f aca="false">SUM('Initiative Cash Flows'!$C$18:$N$18)</f>
        <v>0</v>
      </c>
      <c r="I8" s="28" t="str">
        <f aca="false">IF($E8=0,"-",$G8/$E8)</f>
        <v>-</v>
      </c>
      <c r="J8" s="49" t="str">
        <f aca="false">IF($E8=0,"-",IF('Initiative Cash Flows'!$Z$131&lt;0,"&gt;24 mo",SUMPRODUCT(MAX(('Initiative Cash Flows'!$C$131:$Z$131&lt;0)*'Initiative Cash Flows'!$C$3:$Z$3))+1))</f>
        <v>-</v>
      </c>
      <c r="K8" s="26" t="str">
        <f aca="false">IF($E8=0,"-",NPV(Assumptions!$B$9,'Initiative Cash Flows'!$C$150:$Z$150))</f>
        <v>-</v>
      </c>
      <c r="L8" s="28" t="str">
        <f aca="false">IF($E8=0,"-",IFERROR((1+IRR('Initiative Cash Flows'!$C$150:$Z$150))^12-1,"n/a"))</f>
        <v>-</v>
      </c>
      <c r="M8" s="50" t="str">
        <f aca="false">'Hire Analysis'!E59</f>
        <v>n/a</v>
      </c>
      <c r="N8" s="51" t="str">
        <f aca="false">IF($E8=0,"-",IF(AND(ISNUMBER($K8),$K8&gt;0),IF(AND(ISNUMBER($J8),$J8&lt;=12),"GO","WATCH"),"NO-GO"))</f>
        <v>-</v>
      </c>
    </row>
    <row r="9" customFormat="false" ht="15" hidden="false" customHeight="false" outlineLevel="0" collapsed="false">
      <c r="A9" s="46" t="str">
        <f aca="false">IF('Hire Analysis'!F5="","",'Hire Analysis'!F5)</f>
        <v/>
      </c>
      <c r="B9" s="47" t="s">
        <v>599</v>
      </c>
      <c r="C9" s="48" t="str">
        <f aca="false">'Hire Analysis'!F7</f>
        <v>No</v>
      </c>
      <c r="D9" s="26" t="n">
        <f aca="false">SUM('Initiative Cash Flows'!$C$20:$Z$20)</f>
        <v>0</v>
      </c>
      <c r="E9" s="26" t="n">
        <f aca="false">SUM('Initiative Cash Flows'!$C$19:$Z$19)+SUM('Initiative Cash Flows'!$C$20:$Z$20)</f>
        <v>0</v>
      </c>
      <c r="F9" s="26" t="n">
        <f aca="false">SUM('Initiative Cash Flows'!$C$21:$Z$21)</f>
        <v>0</v>
      </c>
      <c r="G9" s="26" t="n">
        <f aca="false">SUM('Initiative Cash Flows'!$C$22:$Z$22)</f>
        <v>0</v>
      </c>
      <c r="H9" s="26" t="n">
        <f aca="false">SUM('Initiative Cash Flows'!$C$22:$N$22)</f>
        <v>0</v>
      </c>
      <c r="I9" s="28" t="str">
        <f aca="false">IF($E9=0,"-",$G9/$E9)</f>
        <v>-</v>
      </c>
      <c r="J9" s="49" t="str">
        <f aca="false">IF($E9=0,"-",IF('Initiative Cash Flows'!$Z$132&lt;0,"&gt;24 mo",SUMPRODUCT(MAX(('Initiative Cash Flows'!$C$132:$Z$132&lt;0)*'Initiative Cash Flows'!$C$3:$Z$3))+1))</f>
        <v>-</v>
      </c>
      <c r="K9" s="26" t="str">
        <f aca="false">IF($E9=0,"-",NPV(Assumptions!$B$9,'Initiative Cash Flows'!$C$151:$Z$151))</f>
        <v>-</v>
      </c>
      <c r="L9" s="28" t="str">
        <f aca="false">IF($E9=0,"-",IFERROR((1+IRR('Initiative Cash Flows'!$C$151:$Z$151))^12-1,"n/a"))</f>
        <v>-</v>
      </c>
      <c r="M9" s="50" t="str">
        <f aca="false">'Hire Analysis'!F59</f>
        <v>n/a</v>
      </c>
      <c r="N9" s="51" t="str">
        <f aca="false">IF($E9=0,"-",IF(AND(ISNUMBER($K9),$K9&gt;0),IF(AND(ISNUMBER($J9),$J9&lt;=12),"GO","WATCH"),"NO-GO"))</f>
        <v>-</v>
      </c>
    </row>
    <row r="10" customFormat="false" ht="15" hidden="false" customHeight="false" outlineLevel="0" collapsed="false">
      <c r="A10" s="46" t="str">
        <f aca="false">IF('Hire Analysis'!G5="","",'Hire Analysis'!G5)</f>
        <v/>
      </c>
      <c r="B10" s="47" t="s">
        <v>599</v>
      </c>
      <c r="C10" s="48" t="str">
        <f aca="false">'Hire Analysis'!G7</f>
        <v>No</v>
      </c>
      <c r="D10" s="26" t="n">
        <f aca="false">SUM('Initiative Cash Flows'!$C$24:$Z$24)</f>
        <v>0</v>
      </c>
      <c r="E10" s="26" t="n">
        <f aca="false">SUM('Initiative Cash Flows'!$C$23:$Z$23)+SUM('Initiative Cash Flows'!$C$24:$Z$24)</f>
        <v>0</v>
      </c>
      <c r="F10" s="26" t="n">
        <f aca="false">SUM('Initiative Cash Flows'!$C$25:$Z$25)</f>
        <v>0</v>
      </c>
      <c r="G10" s="26" t="n">
        <f aca="false">SUM('Initiative Cash Flows'!$C$26:$Z$26)</f>
        <v>0</v>
      </c>
      <c r="H10" s="26" t="n">
        <f aca="false">SUM('Initiative Cash Flows'!$C$26:$N$26)</f>
        <v>0</v>
      </c>
      <c r="I10" s="28" t="str">
        <f aca="false">IF($E10=0,"-",$G10/$E10)</f>
        <v>-</v>
      </c>
      <c r="J10" s="49" t="str">
        <f aca="false">IF($E10=0,"-",IF('Initiative Cash Flows'!$Z$133&lt;0,"&gt;24 mo",SUMPRODUCT(MAX(('Initiative Cash Flows'!$C$133:$Z$133&lt;0)*'Initiative Cash Flows'!$C$3:$Z$3))+1))</f>
        <v>-</v>
      </c>
      <c r="K10" s="26" t="str">
        <f aca="false">IF($E10=0,"-",NPV(Assumptions!$B$9,'Initiative Cash Flows'!$C$152:$Z$152))</f>
        <v>-</v>
      </c>
      <c r="L10" s="28" t="str">
        <f aca="false">IF($E10=0,"-",IFERROR((1+IRR('Initiative Cash Flows'!$C$152:$Z$152))^12-1,"n/a"))</f>
        <v>-</v>
      </c>
      <c r="M10" s="50" t="str">
        <f aca="false">'Hire Analysis'!G59</f>
        <v>n/a</v>
      </c>
      <c r="N10" s="51" t="str">
        <f aca="false">IF($E10=0,"-",IF(AND(ISNUMBER($K10),$K10&gt;0),IF(AND(ISNUMBER($J10),$J10&lt;=12),"GO","WATCH"),"NO-GO"))</f>
        <v>-</v>
      </c>
    </row>
    <row r="11" customFormat="false" ht="15" hidden="false" customHeight="false" outlineLevel="0" collapsed="false">
      <c r="A11" s="46" t="str">
        <f aca="false">IF('Hire Analysis'!H5="","",'Hire Analysis'!H5)</f>
        <v/>
      </c>
      <c r="B11" s="47" t="s">
        <v>599</v>
      </c>
      <c r="C11" s="48" t="str">
        <f aca="false">'Hire Analysis'!H7</f>
        <v>No</v>
      </c>
      <c r="D11" s="26" t="n">
        <f aca="false">SUM('Initiative Cash Flows'!$C$28:$Z$28)</f>
        <v>0</v>
      </c>
      <c r="E11" s="26" t="n">
        <f aca="false">SUM('Initiative Cash Flows'!$C$27:$Z$27)+SUM('Initiative Cash Flows'!$C$28:$Z$28)</f>
        <v>0</v>
      </c>
      <c r="F11" s="26" t="n">
        <f aca="false">SUM('Initiative Cash Flows'!$C$29:$Z$29)</f>
        <v>0</v>
      </c>
      <c r="G11" s="26" t="n">
        <f aca="false">SUM('Initiative Cash Flows'!$C$30:$Z$30)</f>
        <v>0</v>
      </c>
      <c r="H11" s="26" t="n">
        <f aca="false">SUM('Initiative Cash Flows'!$C$30:$N$30)</f>
        <v>0</v>
      </c>
      <c r="I11" s="28" t="str">
        <f aca="false">IF($E11=0,"-",$G11/$E11)</f>
        <v>-</v>
      </c>
      <c r="J11" s="49" t="str">
        <f aca="false">IF($E11=0,"-",IF('Initiative Cash Flows'!$Z$134&lt;0,"&gt;24 mo",SUMPRODUCT(MAX(('Initiative Cash Flows'!$C$134:$Z$134&lt;0)*'Initiative Cash Flows'!$C$3:$Z$3))+1))</f>
        <v>-</v>
      </c>
      <c r="K11" s="26" t="str">
        <f aca="false">IF($E11=0,"-",NPV(Assumptions!$B$9,'Initiative Cash Flows'!$C$153:$Z$153))</f>
        <v>-</v>
      </c>
      <c r="L11" s="28" t="str">
        <f aca="false">IF($E11=0,"-",IFERROR((1+IRR('Initiative Cash Flows'!$C$153:$Z$153))^12-1,"n/a"))</f>
        <v>-</v>
      </c>
      <c r="M11" s="50" t="str">
        <f aca="false">'Hire Analysis'!H59</f>
        <v>n/a</v>
      </c>
      <c r="N11" s="51" t="str">
        <f aca="false">IF($E11=0,"-",IF(AND(ISNUMBER($K11),$K11&gt;0),IF(AND(ISNUMBER($J11),$J11&lt;=12),"GO","WATCH"),"NO-GO"))</f>
        <v>-</v>
      </c>
    </row>
    <row r="12" customFormat="false" ht="15" hidden="false" customHeight="false" outlineLevel="0" collapsed="false">
      <c r="A12" s="4" t="s">
        <v>380</v>
      </c>
      <c r="B12" s="5"/>
      <c r="C12" s="5"/>
      <c r="D12" s="5"/>
      <c r="E12" s="5"/>
      <c r="F12" s="5"/>
      <c r="G12" s="5"/>
      <c r="H12" s="5"/>
      <c r="I12" s="5"/>
      <c r="J12" s="5"/>
      <c r="K12" s="5"/>
      <c r="L12" s="5"/>
      <c r="M12" s="5"/>
      <c r="N12" s="5"/>
    </row>
    <row r="13" customFormat="false" ht="15" hidden="false" customHeight="false" outlineLevel="0" collapsed="false">
      <c r="A13" s="46" t="str">
        <f aca="false">IF('Equipment Analysis'!C5="","",'Equipment Analysis'!C5)</f>
        <v>CNC machine</v>
      </c>
      <c r="B13" s="47" t="s">
        <v>600</v>
      </c>
      <c r="C13" s="48" t="str">
        <f aca="false">'Equipment Analysis'!C7</f>
        <v>Yes</v>
      </c>
      <c r="D13" s="26" t="n">
        <f aca="false">SUM('Initiative Cash Flows'!$C$36:$Z$36)+SUM('Initiative Cash Flows'!$C$37:$Z$37)</f>
        <v>211520</v>
      </c>
      <c r="E13" s="26" t="n">
        <f aca="false">SUM('Initiative Cash Flows'!$C$36:$Z$36)+SUM('Initiative Cash Flows'!$C$37:$Z$37)+SUM('Initiative Cash Flows'!$C$41:$Z$41)</f>
        <v>243420</v>
      </c>
      <c r="F13" s="26" t="n">
        <f aca="false">SUM('Initiative Cash Flows'!$C$42:$Z$42)</f>
        <v>266500</v>
      </c>
      <c r="G13" s="26" t="n">
        <f aca="false">SUM('Initiative Cash Flows'!$C$44:$Z$44)</f>
        <v>23080</v>
      </c>
      <c r="H13" s="26" t="n">
        <f aca="false">SUM('Initiative Cash Flows'!$C$44:$N$44)</f>
        <v>-115520</v>
      </c>
      <c r="I13" s="28" t="n">
        <f aca="false">IF($E13=0,"-",$G13/$E13)</f>
        <v>0.0948155451483033</v>
      </c>
      <c r="J13" s="49" t="n">
        <f aca="false">IF($E13=0,"-",IF('Initiative Cash Flows'!$Z$135&lt;0,"&gt;24 mo",SUMPRODUCT(MAX(('Initiative Cash Flows'!$C$135:$Z$135&lt;0)*'Initiative Cash Flows'!$C$3:$Z$3))+1))</f>
        <v>23</v>
      </c>
      <c r="K13" s="26" t="n">
        <f aca="false">IF($E13=0,"-",NPV(Assumptions!$B$9,'Initiative Cash Flows'!$C$154:$Z$154))</f>
        <v>269782.947059387</v>
      </c>
      <c r="L13" s="28" t="n">
        <f aca="false">IF($E13=0,"-",IFERROR((1+IRR('Initiative Cash Flows'!$C$154:$Z$154))^12-1,"n/a"))</f>
        <v>1.28008094517581</v>
      </c>
      <c r="M13" s="50" t="n">
        <f aca="false">'Equipment Analysis'!C76</f>
        <v>147651.760951149</v>
      </c>
      <c r="N13" s="51" t="str">
        <f aca="false">IF($E13=0,"-",IF(AND(ISNUMBER($K13),$K13&gt;0),IF(AND(ISNUMBER($J13),$J13&lt;=12),"GO","WATCH"),"NO-GO"))</f>
        <v>WATCH</v>
      </c>
    </row>
    <row r="14" customFormat="false" ht="15" hidden="false" customHeight="false" outlineLevel="0" collapsed="false">
      <c r="A14" s="46" t="str">
        <f aca="false">IF('Equipment Analysis'!D5="","",'Equipment Analysis'!D5)</f>
        <v/>
      </c>
      <c r="B14" s="47" t="s">
        <v>600</v>
      </c>
      <c r="C14" s="48" t="str">
        <f aca="false">'Equipment Analysis'!D7</f>
        <v>No</v>
      </c>
      <c r="D14" s="26" t="n">
        <f aca="false">SUM('Initiative Cash Flows'!$C$45:$Z$45)+SUM('Initiative Cash Flows'!$C$46:$Z$46)</f>
        <v>0</v>
      </c>
      <c r="E14" s="26" t="n">
        <f aca="false">SUM('Initiative Cash Flows'!$C$45:$Z$45)+SUM('Initiative Cash Flows'!$C$46:$Z$46)+SUM('Initiative Cash Flows'!$C$50:$Z$50)</f>
        <v>0</v>
      </c>
      <c r="F14" s="26" t="n">
        <f aca="false">SUM('Initiative Cash Flows'!$C$51:$Z$51)</f>
        <v>0</v>
      </c>
      <c r="G14" s="26" t="n">
        <f aca="false">SUM('Initiative Cash Flows'!$C$53:$Z$53)</f>
        <v>0</v>
      </c>
      <c r="H14" s="26" t="n">
        <f aca="false">SUM('Initiative Cash Flows'!$C$53:$N$53)</f>
        <v>0</v>
      </c>
      <c r="I14" s="28" t="str">
        <f aca="false">IF($E14=0,"-",$G14/$E14)</f>
        <v>-</v>
      </c>
      <c r="J14" s="49" t="str">
        <f aca="false">IF($E14=0,"-",IF('Initiative Cash Flows'!$Z$136&lt;0,"&gt;24 mo",SUMPRODUCT(MAX(('Initiative Cash Flows'!$C$136:$Z$136&lt;0)*'Initiative Cash Flows'!$C$3:$Z$3))+1))</f>
        <v>-</v>
      </c>
      <c r="K14" s="26" t="str">
        <f aca="false">IF($E14=0,"-",NPV(Assumptions!$B$9,'Initiative Cash Flows'!$C$155:$Z$155))</f>
        <v>-</v>
      </c>
      <c r="L14" s="28" t="str">
        <f aca="false">IF($E14=0,"-",IFERROR((1+IRR('Initiative Cash Flows'!$C$155:$Z$155))^12-1,"n/a"))</f>
        <v>-</v>
      </c>
      <c r="M14" s="50" t="str">
        <f aca="false">'Equipment Analysis'!D76</f>
        <v>n/a</v>
      </c>
      <c r="N14" s="51" t="str">
        <f aca="false">IF($E14=0,"-",IF(AND(ISNUMBER($K14),$K14&gt;0),IF(AND(ISNUMBER($J14),$J14&lt;=12),"GO","WATCH"),"NO-GO"))</f>
        <v>-</v>
      </c>
    </row>
    <row r="15" customFormat="false" ht="15" hidden="false" customHeight="false" outlineLevel="0" collapsed="false">
      <c r="A15" s="46" t="str">
        <f aca="false">IF('Equipment Analysis'!E5="","",'Equipment Analysis'!E5)</f>
        <v/>
      </c>
      <c r="B15" s="47" t="s">
        <v>600</v>
      </c>
      <c r="C15" s="48" t="str">
        <f aca="false">'Equipment Analysis'!E7</f>
        <v>No</v>
      </c>
      <c r="D15" s="26" t="n">
        <f aca="false">SUM('Initiative Cash Flows'!$C$54:$Z$54)+SUM('Initiative Cash Flows'!$C$55:$Z$55)</f>
        <v>0</v>
      </c>
      <c r="E15" s="26" t="n">
        <f aca="false">SUM('Initiative Cash Flows'!$C$54:$Z$54)+SUM('Initiative Cash Flows'!$C$55:$Z$55)+SUM('Initiative Cash Flows'!$C$59:$Z$59)</f>
        <v>0</v>
      </c>
      <c r="F15" s="26" t="n">
        <f aca="false">SUM('Initiative Cash Flows'!$C$60:$Z$60)</f>
        <v>0</v>
      </c>
      <c r="G15" s="26" t="n">
        <f aca="false">SUM('Initiative Cash Flows'!$C$62:$Z$62)</f>
        <v>0</v>
      </c>
      <c r="H15" s="26" t="n">
        <f aca="false">SUM('Initiative Cash Flows'!$C$62:$N$62)</f>
        <v>0</v>
      </c>
      <c r="I15" s="28" t="str">
        <f aca="false">IF($E15=0,"-",$G15/$E15)</f>
        <v>-</v>
      </c>
      <c r="J15" s="49" t="str">
        <f aca="false">IF($E15=0,"-",IF('Initiative Cash Flows'!$Z$137&lt;0,"&gt;24 mo",SUMPRODUCT(MAX(('Initiative Cash Flows'!$C$137:$Z$137&lt;0)*'Initiative Cash Flows'!$C$3:$Z$3))+1))</f>
        <v>-</v>
      </c>
      <c r="K15" s="26" t="str">
        <f aca="false">IF($E15=0,"-",NPV(Assumptions!$B$9,'Initiative Cash Flows'!$C$156:$Z$156))</f>
        <v>-</v>
      </c>
      <c r="L15" s="28" t="str">
        <f aca="false">IF($E15=0,"-",IFERROR((1+IRR('Initiative Cash Flows'!$C$156:$Z$156))^12-1,"n/a"))</f>
        <v>-</v>
      </c>
      <c r="M15" s="50" t="str">
        <f aca="false">'Equipment Analysis'!E76</f>
        <v>n/a</v>
      </c>
      <c r="N15" s="51" t="str">
        <f aca="false">IF($E15=0,"-",IF(AND(ISNUMBER($K15),$K15&gt;0),IF(AND(ISNUMBER($J15),$J15&lt;=12),"GO","WATCH"),"NO-GO"))</f>
        <v>-</v>
      </c>
    </row>
    <row r="16" customFormat="false" ht="15" hidden="false" customHeight="false" outlineLevel="0" collapsed="false">
      <c r="A16" s="46" t="str">
        <f aca="false">IF('Equipment Analysis'!F5="","",'Equipment Analysis'!F5)</f>
        <v/>
      </c>
      <c r="B16" s="47" t="s">
        <v>600</v>
      </c>
      <c r="C16" s="48" t="str">
        <f aca="false">'Equipment Analysis'!F7</f>
        <v>No</v>
      </c>
      <c r="D16" s="26" t="n">
        <f aca="false">SUM('Initiative Cash Flows'!$C$63:$Z$63)+SUM('Initiative Cash Flows'!$C$64:$Z$64)</f>
        <v>0</v>
      </c>
      <c r="E16" s="26" t="n">
        <f aca="false">SUM('Initiative Cash Flows'!$C$63:$Z$63)+SUM('Initiative Cash Flows'!$C$64:$Z$64)+SUM('Initiative Cash Flows'!$C$68:$Z$68)</f>
        <v>0</v>
      </c>
      <c r="F16" s="26" t="n">
        <f aca="false">SUM('Initiative Cash Flows'!$C$69:$Z$69)</f>
        <v>0</v>
      </c>
      <c r="G16" s="26" t="n">
        <f aca="false">SUM('Initiative Cash Flows'!$C$71:$Z$71)</f>
        <v>0</v>
      </c>
      <c r="H16" s="26" t="n">
        <f aca="false">SUM('Initiative Cash Flows'!$C$71:$N$71)</f>
        <v>0</v>
      </c>
      <c r="I16" s="28" t="str">
        <f aca="false">IF($E16=0,"-",$G16/$E16)</f>
        <v>-</v>
      </c>
      <c r="J16" s="49" t="str">
        <f aca="false">IF($E16=0,"-",IF('Initiative Cash Flows'!$Z$138&lt;0,"&gt;24 mo",SUMPRODUCT(MAX(('Initiative Cash Flows'!$C$138:$Z$138&lt;0)*'Initiative Cash Flows'!$C$3:$Z$3))+1))</f>
        <v>-</v>
      </c>
      <c r="K16" s="26" t="str">
        <f aca="false">IF($E16=0,"-",NPV(Assumptions!$B$9,'Initiative Cash Flows'!$C$157:$Z$157))</f>
        <v>-</v>
      </c>
      <c r="L16" s="28" t="str">
        <f aca="false">IF($E16=0,"-",IFERROR((1+IRR('Initiative Cash Flows'!$C$157:$Z$157))^12-1,"n/a"))</f>
        <v>-</v>
      </c>
      <c r="M16" s="50" t="str">
        <f aca="false">'Equipment Analysis'!F76</f>
        <v>n/a</v>
      </c>
      <c r="N16" s="51" t="str">
        <f aca="false">IF($E16=0,"-",IF(AND(ISNUMBER($K16),$K16&gt;0),IF(AND(ISNUMBER($J16),$J16&lt;=12),"GO","WATCH"),"NO-GO"))</f>
        <v>-</v>
      </c>
    </row>
    <row r="17" customFormat="false" ht="15" hidden="false" customHeight="false" outlineLevel="0" collapsed="false">
      <c r="A17" s="4" t="s">
        <v>426</v>
      </c>
      <c r="B17" s="5"/>
      <c r="C17" s="5"/>
      <c r="D17" s="5"/>
      <c r="E17" s="5"/>
      <c r="F17" s="5"/>
      <c r="G17" s="5"/>
      <c r="H17" s="5"/>
      <c r="I17" s="5"/>
      <c r="J17" s="5"/>
      <c r="K17" s="5"/>
      <c r="L17" s="5"/>
      <c r="M17" s="5"/>
      <c r="N17" s="5"/>
    </row>
    <row r="18" customFormat="false" ht="15" hidden="false" customHeight="false" outlineLevel="0" collapsed="false">
      <c r="A18" s="46" t="str">
        <f aca="false">IF('Other Initiatives'!C5="","",'Other Initiatives'!C5)</f>
        <v>ERP implementation</v>
      </c>
      <c r="B18" s="47" t="s">
        <v>601</v>
      </c>
      <c r="C18" s="48" t="str">
        <f aca="false">'Other Initiatives'!C7</f>
        <v>No</v>
      </c>
      <c r="D18" s="26" t="n">
        <f aca="false">SUM('Initiative Cash Flows'!$C$83:$Z$83)</f>
        <v>0</v>
      </c>
      <c r="E18" s="26" t="n">
        <f aca="false">SUM('Initiative Cash Flows'!$C$83:$Z$83)+SUM('Initiative Cash Flows'!$C$84:$Z$84)</f>
        <v>0</v>
      </c>
      <c r="F18" s="26" t="n">
        <f aca="false">SUM('Initiative Cash Flows'!$C$85:$Z$85)</f>
        <v>0</v>
      </c>
      <c r="G18" s="26" t="n">
        <f aca="false">SUM('Initiative Cash Flows'!$C$86:$Z$86)</f>
        <v>0</v>
      </c>
      <c r="H18" s="26" t="n">
        <f aca="false">SUM('Initiative Cash Flows'!$C$86:$N$86)</f>
        <v>0</v>
      </c>
      <c r="I18" s="28" t="str">
        <f aca="false">IF($E18=0,"-",$G18/$E18)</f>
        <v>-</v>
      </c>
      <c r="J18" s="49" t="str">
        <f aca="false">IF($E18=0,"-",IF('Initiative Cash Flows'!$Z$139&lt;0,"&gt;24 mo",SUMPRODUCT(MAX(('Initiative Cash Flows'!$C$139:$Z$139&lt;0)*'Initiative Cash Flows'!$C$3:$Z$3))+1))</f>
        <v>-</v>
      </c>
      <c r="K18" s="26" t="str">
        <f aca="false">IF($E18=0,"-",NPV(Assumptions!$B$9,'Initiative Cash Flows'!$C$158:$Z$158))</f>
        <v>-</v>
      </c>
      <c r="L18" s="28" t="str">
        <f aca="false">IF($E18=0,"-",IFERROR((1+IRR('Initiative Cash Flows'!$C$158:$Z$158))^12-1,"n/a"))</f>
        <v>-</v>
      </c>
      <c r="M18" s="50" t="n">
        <f aca="false">'Other Initiatives'!C26</f>
        <v>85714.2857142857</v>
      </c>
      <c r="N18" s="51" t="str">
        <f aca="false">IF($E18=0,"-",IF(AND(ISNUMBER($K18),$K18&gt;0),IF(AND(ISNUMBER($J18),$J18&lt;=12),"GO","WATCH"),"NO-GO"))</f>
        <v>-</v>
      </c>
    </row>
    <row r="19" customFormat="false" ht="15" hidden="false" customHeight="false" outlineLevel="0" collapsed="false">
      <c r="A19" s="46" t="str">
        <f aca="false">IF('Other Initiatives'!D5="","",'Other Initiatives'!D5)</f>
        <v/>
      </c>
      <c r="B19" s="47" t="s">
        <v>601</v>
      </c>
      <c r="C19" s="48" t="str">
        <f aca="false">'Other Initiatives'!D7</f>
        <v>No</v>
      </c>
      <c r="D19" s="26" t="n">
        <f aca="false">SUM('Initiative Cash Flows'!$C$87:$Z$87)</f>
        <v>0</v>
      </c>
      <c r="E19" s="26" t="n">
        <f aca="false">SUM('Initiative Cash Flows'!$C$87:$Z$87)+SUM('Initiative Cash Flows'!$C$88:$Z$88)</f>
        <v>0</v>
      </c>
      <c r="F19" s="26" t="n">
        <f aca="false">SUM('Initiative Cash Flows'!$C$89:$Z$89)</f>
        <v>0</v>
      </c>
      <c r="G19" s="26" t="n">
        <f aca="false">SUM('Initiative Cash Flows'!$C$90:$Z$90)</f>
        <v>0</v>
      </c>
      <c r="H19" s="26" t="n">
        <f aca="false">SUM('Initiative Cash Flows'!$C$90:$N$90)</f>
        <v>0</v>
      </c>
      <c r="I19" s="28" t="str">
        <f aca="false">IF($E19=0,"-",$G19/$E19)</f>
        <v>-</v>
      </c>
      <c r="J19" s="49" t="str">
        <f aca="false">IF($E19=0,"-",IF('Initiative Cash Flows'!$Z$140&lt;0,"&gt;24 mo",SUMPRODUCT(MAX(('Initiative Cash Flows'!$C$140:$Z$140&lt;0)*'Initiative Cash Flows'!$C$3:$Z$3))+1))</f>
        <v>-</v>
      </c>
      <c r="K19" s="26" t="str">
        <f aca="false">IF($E19=0,"-",NPV(Assumptions!$B$9,'Initiative Cash Flows'!$C$159:$Z$159))</f>
        <v>-</v>
      </c>
      <c r="L19" s="28" t="str">
        <f aca="false">IF($E19=0,"-",IFERROR((1+IRR('Initiative Cash Flows'!$C$159:$Z$159))^12-1,"n/a"))</f>
        <v>-</v>
      </c>
      <c r="M19" s="50" t="str">
        <f aca="false">'Other Initiatives'!D26</f>
        <v>n/a</v>
      </c>
      <c r="N19" s="51" t="str">
        <f aca="false">IF($E19=0,"-",IF(AND(ISNUMBER($K19),$K19&gt;0),IF(AND(ISNUMBER($J19),$J19&lt;=12),"GO","WATCH"),"NO-GO"))</f>
        <v>-</v>
      </c>
    </row>
    <row r="20" customFormat="false" ht="15" hidden="false" customHeight="false" outlineLevel="0" collapsed="false">
      <c r="A20" s="46" t="str">
        <f aca="false">IF('Other Initiatives'!E5="","",'Other Initiatives'!E5)</f>
        <v/>
      </c>
      <c r="B20" s="47" t="s">
        <v>601</v>
      </c>
      <c r="C20" s="48" t="str">
        <f aca="false">'Other Initiatives'!E7</f>
        <v>No</v>
      </c>
      <c r="D20" s="26" t="n">
        <f aca="false">SUM('Initiative Cash Flows'!$C$91:$Z$91)</f>
        <v>0</v>
      </c>
      <c r="E20" s="26" t="n">
        <f aca="false">SUM('Initiative Cash Flows'!$C$91:$Z$91)+SUM('Initiative Cash Flows'!$C$92:$Z$92)</f>
        <v>0</v>
      </c>
      <c r="F20" s="26" t="n">
        <f aca="false">SUM('Initiative Cash Flows'!$C$93:$Z$93)</f>
        <v>0</v>
      </c>
      <c r="G20" s="26" t="n">
        <f aca="false">SUM('Initiative Cash Flows'!$C$94:$Z$94)</f>
        <v>0</v>
      </c>
      <c r="H20" s="26" t="n">
        <f aca="false">SUM('Initiative Cash Flows'!$C$94:$N$94)</f>
        <v>0</v>
      </c>
      <c r="I20" s="28" t="str">
        <f aca="false">IF($E20=0,"-",$G20/$E20)</f>
        <v>-</v>
      </c>
      <c r="J20" s="49" t="str">
        <f aca="false">IF($E20=0,"-",IF('Initiative Cash Flows'!$Z$141&lt;0,"&gt;24 mo",SUMPRODUCT(MAX(('Initiative Cash Flows'!$C$141:$Z$141&lt;0)*'Initiative Cash Flows'!$C$3:$Z$3))+1))</f>
        <v>-</v>
      </c>
      <c r="K20" s="26" t="str">
        <f aca="false">IF($E20=0,"-",NPV(Assumptions!$B$9,'Initiative Cash Flows'!$C$160:$Z$160))</f>
        <v>-</v>
      </c>
      <c r="L20" s="28" t="str">
        <f aca="false">IF($E20=0,"-",IFERROR((1+IRR('Initiative Cash Flows'!$C$160:$Z$160))^12-1,"n/a"))</f>
        <v>-</v>
      </c>
      <c r="M20" s="50" t="str">
        <f aca="false">'Other Initiatives'!E26</f>
        <v>n/a</v>
      </c>
      <c r="N20" s="51" t="str">
        <f aca="false">IF($E20=0,"-",IF(AND(ISNUMBER($K20),$K20&gt;0),IF(AND(ISNUMBER($J20),$J20&lt;=12),"GO","WATCH"),"NO-GO"))</f>
        <v>-</v>
      </c>
    </row>
    <row r="21" customFormat="false" ht="15" hidden="false" customHeight="false" outlineLevel="0" collapsed="false">
      <c r="A21" s="46" t="str">
        <f aca="false">IF('Other Initiatives'!F5="","",'Other Initiatives'!F5)</f>
        <v/>
      </c>
      <c r="B21" s="47" t="s">
        <v>601</v>
      </c>
      <c r="C21" s="48" t="str">
        <f aca="false">'Other Initiatives'!F7</f>
        <v>No</v>
      </c>
      <c r="D21" s="26" t="n">
        <f aca="false">SUM('Initiative Cash Flows'!$C$95:$Z$95)</f>
        <v>0</v>
      </c>
      <c r="E21" s="26" t="n">
        <f aca="false">SUM('Initiative Cash Flows'!$C$95:$Z$95)+SUM('Initiative Cash Flows'!$C$96:$Z$96)</f>
        <v>0</v>
      </c>
      <c r="F21" s="26" t="n">
        <f aca="false">SUM('Initiative Cash Flows'!$C$97:$Z$97)</f>
        <v>0</v>
      </c>
      <c r="G21" s="26" t="n">
        <f aca="false">SUM('Initiative Cash Flows'!$C$98:$Z$98)</f>
        <v>0</v>
      </c>
      <c r="H21" s="26" t="n">
        <f aca="false">SUM('Initiative Cash Flows'!$C$98:$N$98)</f>
        <v>0</v>
      </c>
      <c r="I21" s="28" t="str">
        <f aca="false">IF($E21=0,"-",$G21/$E21)</f>
        <v>-</v>
      </c>
      <c r="J21" s="49" t="str">
        <f aca="false">IF($E21=0,"-",IF('Initiative Cash Flows'!$Z$142&lt;0,"&gt;24 mo",SUMPRODUCT(MAX(('Initiative Cash Flows'!$C$142:$Z$142&lt;0)*'Initiative Cash Flows'!$C$3:$Z$3))+1))</f>
        <v>-</v>
      </c>
      <c r="K21" s="26" t="str">
        <f aca="false">IF($E21=0,"-",NPV(Assumptions!$B$9,'Initiative Cash Flows'!$C$161:$Z$161))</f>
        <v>-</v>
      </c>
      <c r="L21" s="28" t="str">
        <f aca="false">IF($E21=0,"-",IFERROR((1+IRR('Initiative Cash Flows'!$C$161:$Z$161))^12-1,"n/a"))</f>
        <v>-</v>
      </c>
      <c r="M21" s="50" t="str">
        <f aca="false">'Other Initiatives'!F26</f>
        <v>n/a</v>
      </c>
      <c r="N21" s="51" t="str">
        <f aca="false">IF($E21=0,"-",IF(AND(ISNUMBER($K21),$K21&gt;0),IF(AND(ISNUMBER($J21),$J21&lt;=12),"GO","WATCH"),"NO-GO"))</f>
        <v>-</v>
      </c>
    </row>
    <row r="23" customFormat="false" ht="15" hidden="false" customHeight="false" outlineLevel="0" collapsed="false">
      <c r="A23" s="52" t="s">
        <v>602</v>
      </c>
      <c r="B23" s="52" t="s">
        <v>603</v>
      </c>
      <c r="C23" s="53" t="s">
        <v>604</v>
      </c>
      <c r="D23" s="54" t="n">
        <f aca="false">SUM(D6:D11)</f>
        <v>22500</v>
      </c>
      <c r="E23" s="54" t="n">
        <f aca="false">SUM('Initiative Cash Flows'!$C$31:$Z$31)</f>
        <v>253476.0625</v>
      </c>
      <c r="F23" s="54" t="n">
        <f aca="false">SUM('Initiative Cash Flows'!$C$32:$Z$32)</f>
        <v>323558.333333333</v>
      </c>
      <c r="G23" s="54" t="n">
        <f aca="false">SUM('Initiative Cash Flows'!$C$33:$Z$33)</f>
        <v>70082.2708333333</v>
      </c>
      <c r="H23" s="54" t="n">
        <f aca="false">SUM('Initiative Cash Flows'!$C$33:$N$33)</f>
        <v>1191.52083333334</v>
      </c>
      <c r="I23" s="55" t="n">
        <f aca="false">IF($E23=0,"-",$G23/$E23)</f>
        <v>0.276484769970471</v>
      </c>
      <c r="J23" s="56" t="n">
        <f aca="false">IF($E23=0,"-",IF('Initiative Cash Flows'!$Z$143&lt;0,"&gt;24 mo",SUMPRODUCT(MAX(('Initiative Cash Flows'!$C$143:$Z$143&lt;0)*'Initiative Cash Flows'!$C$3:$Z$3))+1))</f>
        <v>12</v>
      </c>
      <c r="K23" s="54" t="n">
        <f aca="false">IF($E23=0,"-",NPV(Assumptions!$B$9,'Initiative Cash Flows'!$C$162:$Z$162))</f>
        <v>77009.3393248073</v>
      </c>
      <c r="L23" s="55" t="n">
        <f aca="false">IF($E23=0,"-",IFERROR((1+IRR('Initiative Cash Flows'!$C$162:$Z$162))^12-1,"n/a"))</f>
        <v>2.69842963988148</v>
      </c>
      <c r="M23" s="54" t="s">
        <v>604</v>
      </c>
      <c r="N23" s="53" t="str">
        <f aca="false">IF($E23=0,"-",IF(AND(ISNUMBER($K23),$K23&gt;0),IF(AND(ISNUMBER($J23),$J23&lt;=12),"GO","WATCH"),"NO-GO"))</f>
        <v>GO</v>
      </c>
    </row>
    <row r="24" customFormat="false" ht="15" hidden="false" customHeight="false" outlineLevel="0" collapsed="false">
      <c r="A24" s="52" t="s">
        <v>605</v>
      </c>
      <c r="B24" s="52" t="s">
        <v>603</v>
      </c>
      <c r="C24" s="53" t="s">
        <v>604</v>
      </c>
      <c r="D24" s="54" t="n">
        <f aca="false">SUM(D13:D16)</f>
        <v>211520</v>
      </c>
      <c r="E24" s="54" t="n">
        <f aca="false">SUM('Initiative Cash Flows'!$C$72:$Z$72)+SUM('Initiative Cash Flows'!$C$73:$Z$73)+SUM('Initiative Cash Flows'!$C$77:$Z$77)</f>
        <v>243420</v>
      </c>
      <c r="F24" s="54" t="n">
        <f aca="false">SUM('Initiative Cash Flows'!$C$78:$Z$78)</f>
        <v>266500</v>
      </c>
      <c r="G24" s="54" t="n">
        <f aca="false">SUM('Initiative Cash Flows'!$C$80:$Z$80)</f>
        <v>23080</v>
      </c>
      <c r="H24" s="54" t="n">
        <f aca="false">SUM('Initiative Cash Flows'!$C$80:$N$80)</f>
        <v>-115520</v>
      </c>
      <c r="I24" s="55" t="n">
        <f aca="false">IF($E24=0,"-",$G24/$E24)</f>
        <v>0.0948155451483033</v>
      </c>
      <c r="J24" s="56" t="n">
        <f aca="false">IF($E24=0,"-",IF('Initiative Cash Flows'!$Z$144&lt;0,"&gt;24 mo",SUMPRODUCT(MAX(('Initiative Cash Flows'!$C$144:$Z$144&lt;0)*'Initiative Cash Flows'!$C$3:$Z$3))+1))</f>
        <v>23</v>
      </c>
      <c r="K24" s="54" t="n">
        <f aca="false">IF($E24=0,"-",NPV(Assumptions!$B$9,'Initiative Cash Flows'!$C$163:$Z$163))</f>
        <v>269782.947059387</v>
      </c>
      <c r="L24" s="55" t="n">
        <f aca="false">IF($E24=0,"-",IFERROR((1+IRR('Initiative Cash Flows'!$C$163:$Z$163))^12-1,"n/a"))</f>
        <v>1.28008094517581</v>
      </c>
      <c r="M24" s="54" t="s">
        <v>604</v>
      </c>
      <c r="N24" s="53" t="str">
        <f aca="false">IF($E24=0,"-",IF(AND(ISNUMBER($K24),$K24&gt;0),IF(AND(ISNUMBER($J24),$J24&lt;=12),"GO","WATCH"),"NO-GO"))</f>
        <v>WATCH</v>
      </c>
    </row>
    <row r="25" customFormat="false" ht="15" hidden="false" customHeight="false" outlineLevel="0" collapsed="false">
      <c r="A25" s="52" t="s">
        <v>606</v>
      </c>
      <c r="B25" s="52" t="s">
        <v>603</v>
      </c>
      <c r="C25" s="53" t="s">
        <v>604</v>
      </c>
      <c r="D25" s="54" t="n">
        <f aca="false">SUM(D18:D21)</f>
        <v>0</v>
      </c>
      <c r="E25" s="54" t="n">
        <f aca="false">SUM('Initiative Cash Flows'!$C$99:$Z$99)</f>
        <v>0</v>
      </c>
      <c r="F25" s="54" t="n">
        <f aca="false">SUM('Initiative Cash Flows'!$C$100:$Z$100)</f>
        <v>0</v>
      </c>
      <c r="G25" s="54" t="n">
        <f aca="false">SUM('Initiative Cash Flows'!$C$101:$Z$101)</f>
        <v>0</v>
      </c>
      <c r="H25" s="54" t="n">
        <f aca="false">SUM('Initiative Cash Flows'!$C$101:$N$101)</f>
        <v>0</v>
      </c>
      <c r="I25" s="55" t="str">
        <f aca="false">IF($E25=0,"-",$G25/$E25)</f>
        <v>-</v>
      </c>
      <c r="J25" s="56" t="str">
        <f aca="false">IF($E25=0,"-",IF('Initiative Cash Flows'!$Z$145&lt;0,"&gt;24 mo",SUMPRODUCT(MAX(('Initiative Cash Flows'!$C$145:$Z$145&lt;0)*'Initiative Cash Flows'!$C$3:$Z$3))+1))</f>
        <v>-</v>
      </c>
      <c r="K25" s="54" t="str">
        <f aca="false">IF($E25=0,"-",NPV(Assumptions!$B$9,'Initiative Cash Flows'!$C$164:$Z$164))</f>
        <v>-</v>
      </c>
      <c r="L25" s="55" t="str">
        <f aca="false">IF($E25=0,"-",IFERROR((1+IRR('Initiative Cash Flows'!$C$164:$Z$164))^12-1,"n/a"))</f>
        <v>-</v>
      </c>
      <c r="M25" s="54" t="s">
        <v>604</v>
      </c>
      <c r="N25" s="53" t="str">
        <f aca="false">IF($E25=0,"-",IF(AND(ISNUMBER($K25),$K25&gt;0),IF(AND(ISNUMBER($J25),$J25&lt;=12),"GO","WATCH"),"NO-GO"))</f>
        <v>-</v>
      </c>
    </row>
    <row r="26" customFormat="false" ht="15" hidden="false" customHeight="false" outlineLevel="0" collapsed="false">
      <c r="A26" s="52" t="s">
        <v>607</v>
      </c>
      <c r="B26" s="52" t="s">
        <v>608</v>
      </c>
      <c r="C26" s="53" t="s">
        <v>604</v>
      </c>
      <c r="D26" s="54" t="n">
        <f aca="false">D23+D24+D25</f>
        <v>234020</v>
      </c>
      <c r="E26" s="54" t="n">
        <f aca="false">SUM('Initiative Cash Flows'!$C$31:$Z$31)+SUM('Initiative Cash Flows'!$C$72:$Z$72)+SUM('Initiative Cash Flows'!$C$73:$Z$73)+SUM('Initiative Cash Flows'!$C$77:$Z$77)+SUM('Initiative Cash Flows'!$C$99:$Z$99)</f>
        <v>496896.0625</v>
      </c>
      <c r="F26" s="54" t="n">
        <f aca="false">SUM('Initiative Cash Flows'!$C$106:$Z$106)</f>
        <v>590058.333333333</v>
      </c>
      <c r="G26" s="54" t="n">
        <f aca="false">SUM('Initiative Cash Flows'!$C$104:$Z$104)</f>
        <v>93162.2708333334</v>
      </c>
      <c r="H26" s="54" t="n">
        <f aca="false">SUM('Initiative Cash Flows'!$C$104:$N$104)</f>
        <v>-114328.479166667</v>
      </c>
      <c r="I26" s="55" t="n">
        <f aca="false">IF($E26=0,"-",$G26/$E26)</f>
        <v>0.187488446506524</v>
      </c>
      <c r="J26" s="56" t="n">
        <f aca="false">IF($E26=0,"-",IF('Initiative Cash Flows'!$Z$146&lt;0,"&gt;24 mo",SUMPRODUCT(MAX(('Initiative Cash Flows'!$C$146:$Z$146&lt;0)*'Initiative Cash Flows'!$C$3:$Z$3))+1))</f>
        <v>19</v>
      </c>
      <c r="K26" s="54" t="n">
        <f aca="false">IF($E26=0,"-",NPV(Assumptions!$B$9,'Initiative Cash Flows'!$C$165:$Z$165))</f>
        <v>346792.286384194</v>
      </c>
      <c r="L26" s="55" t="n">
        <f aca="false">IF($E26=0,"-",IFERROR((1+IRR('Initiative Cash Flows'!$C$165:$Z$165))^12-1,"n/a"))</f>
        <v>1.45016514035063</v>
      </c>
      <c r="M26" s="54" t="s">
        <v>604</v>
      </c>
      <c r="N26" s="53" t="str">
        <f aca="false">IF($E26=0,"-",IF(AND(ISNUMBER($K26),$K26&gt;0),IF(AND(ISNUMBER($J26),$J26&lt;=12),"GO","WATCH"),"NO-GO"))</f>
        <v>WATCH</v>
      </c>
    </row>
    <row r="28" customFormat="false" ht="15" hidden="false" customHeight="false" outlineLevel="0" collapsed="false">
      <c r="A28" s="4" t="s">
        <v>609</v>
      </c>
      <c r="B28" s="5"/>
      <c r="C28" s="5"/>
      <c r="D28" s="5"/>
      <c r="E28" s="5"/>
      <c r="F28" s="5"/>
      <c r="G28" s="5"/>
      <c r="H28" s="5"/>
      <c r="I28" s="5"/>
      <c r="J28" s="5"/>
      <c r="K28" s="5"/>
      <c r="L28" s="5"/>
      <c r="M28" s="5"/>
      <c r="N28" s="5"/>
    </row>
    <row r="29" customFormat="false" ht="15" hidden="false" customHeight="false" outlineLevel="0" collapsed="false">
      <c r="A29" s="11" t="s">
        <v>610</v>
      </c>
      <c r="C29" s="57" t="str">
        <f aca="false">Assumptions!$B$5</f>
        <v>[Client Name]</v>
      </c>
    </row>
    <row r="30" customFormat="false" ht="15" hidden="false" customHeight="false" outlineLevel="0" collapsed="false">
      <c r="A30" s="11" t="s">
        <v>611</v>
      </c>
      <c r="C30" s="57" t="str">
        <f aca="false">Assumptions!$B$7</f>
        <v>Base</v>
      </c>
    </row>
    <row r="31" customFormat="false" ht="15" hidden="false" customHeight="false" outlineLevel="0" collapsed="false">
      <c r="A31" s="11" t="s">
        <v>612</v>
      </c>
      <c r="C31" s="28" t="n">
        <f aca="false">Assumptions!$B$8</f>
        <v>0.15</v>
      </c>
    </row>
    <row r="32" customFormat="false" ht="15" hidden="false" customHeight="false" outlineLevel="0" collapsed="false">
      <c r="A32" s="11" t="s">
        <v>613</v>
      </c>
      <c r="C32" s="21" t="n">
        <f aca="false">COUNTIF('Hire Analysis'!$C$7:$H$7,"Yes")+COUNTIF('Equipment Analysis'!$C$7:$F$7,"Yes")+COUNTIF('Other Initiatives'!$C$7:$F$7,"Yes")</f>
        <v>2</v>
      </c>
    </row>
    <row r="33" customFormat="false" ht="15" hidden="false" customHeight="false" outlineLevel="0" collapsed="false">
      <c r="A33" s="11" t="s">
        <v>614</v>
      </c>
      <c r="C33" s="21" t="n">
        <f aca="false">COUNTIF('Hire Analysis'!$C$7:$H$7,"Yes")</f>
        <v>1</v>
      </c>
    </row>
    <row r="34" customFormat="false" ht="15" hidden="false" customHeight="false" outlineLevel="0" collapsed="false">
      <c r="A34" s="11" t="s">
        <v>615</v>
      </c>
      <c r="C34" s="26" t="n">
        <f aca="false">SUMIF('Hire Analysis'!$C$7:$H$7,"Yes",'Hire Analysis'!$C$28:$H$28)</f>
        <v>120509.25</v>
      </c>
    </row>
    <row r="35" customFormat="false" ht="15" hidden="false" customHeight="false" outlineLevel="0" collapsed="false">
      <c r="A35" s="11" t="s">
        <v>616</v>
      </c>
      <c r="C35" s="26" t="n">
        <f aca="false">SUM('Initiative Cash Flows'!$C$72:$Z$72)</f>
        <v>42304</v>
      </c>
    </row>
    <row r="36" customFormat="false" ht="15" hidden="false" customHeight="false" outlineLevel="0" collapsed="false">
      <c r="A36" s="11" t="s">
        <v>617</v>
      </c>
      <c r="C36" s="26" t="n">
        <f aca="false">D26</f>
        <v>234020</v>
      </c>
    </row>
    <row r="37" customFormat="false" ht="15" hidden="false" customHeight="false" outlineLevel="0" collapsed="false">
      <c r="A37" s="11" t="s">
        <v>618</v>
      </c>
      <c r="C37" s="26" t="n">
        <f aca="false">SUM('Initiative Cash Flows'!$C$108:$Z$108)</f>
        <v>64804</v>
      </c>
    </row>
    <row r="38" customFormat="false" ht="15" hidden="false" customHeight="false" outlineLevel="0" collapsed="false">
      <c r="A38" s="11" t="s">
        <v>345</v>
      </c>
      <c r="C38" s="26" t="n">
        <f aca="false">G26</f>
        <v>93162.2708333334</v>
      </c>
    </row>
    <row r="39" customFormat="false" ht="15" hidden="false" customHeight="false" outlineLevel="0" collapsed="false">
      <c r="A39" s="11" t="s">
        <v>619</v>
      </c>
      <c r="C39" s="26" t="n">
        <f aca="false">K26</f>
        <v>346792.286384194</v>
      </c>
    </row>
    <row r="40" customFormat="false" ht="15" hidden="false" customHeight="false" outlineLevel="0" collapsed="false">
      <c r="A40" s="11" t="s">
        <v>620</v>
      </c>
      <c r="C40" s="21" t="n">
        <f aca="false">J26</f>
        <v>19</v>
      </c>
    </row>
    <row r="42" customFormat="false" ht="15" hidden="false" customHeight="false" outlineLevel="0" collapsed="false">
      <c r="A42" s="11" t="s">
        <v>621</v>
      </c>
      <c r="C42" s="26" t="n">
        <f aca="false">MIN('Monthly Cash Flow'!$C$52:$Z$52)</f>
        <v>267500</v>
      </c>
    </row>
    <row r="43" customFormat="false" ht="15" hidden="false" customHeight="false" outlineLevel="0" collapsed="false">
      <c r="A43" s="11" t="s">
        <v>622</v>
      </c>
      <c r="C43" s="58" t="n">
        <f aca="false">INDEX('Monthly Cash Flow'!$C$4:$Z$4,MATCH(MIN('Monthly Cash Flow'!$C$52:$Z$52),'Monthly Cash Flow'!$C$52:$Z$52,0))</f>
        <v>46326</v>
      </c>
    </row>
    <row r="44" customFormat="false" ht="15" hidden="false" customHeight="false" outlineLevel="0" collapsed="false">
      <c r="A44" s="11" t="s">
        <v>623</v>
      </c>
      <c r="C44" s="57" t="str">
        <f aca="false">IF(MIN('Monthly Cash Flow'!$C$52:$Z$52)&lt;Assumptions!$B$20,"YES - fix the timing or the financing before approving","No")</f>
        <v>No</v>
      </c>
    </row>
    <row r="45" customFormat="false" ht="15" hidden="false" customHeight="false" outlineLevel="0" collapsed="false">
      <c r="A45" s="11" t="s">
        <v>624</v>
      </c>
      <c r="C45" s="26" t="n">
        <f aca="false">MIN('13-Week Cash'!$C$30:$O$30)</f>
        <v>254027.617951669</v>
      </c>
    </row>
    <row r="46" customFormat="false" ht="15" hidden="false" customHeight="false" outlineLevel="0" collapsed="false">
      <c r="A46" s="11" t="s">
        <v>625</v>
      </c>
      <c r="C46" s="24" t="n">
        <f aca="false">MIN('Monthly Cash Flow'!$C$61:$Z$61)</f>
        <v>1.59205701418084</v>
      </c>
    </row>
    <row r="48" customFormat="false" ht="15" hidden="false" customHeight="false" outlineLevel="0" collapsed="false">
      <c r="A48" s="11" t="s">
        <v>626</v>
      </c>
      <c r="C48" s="26" t="n">
        <f aca="false">SUM('Monthly Cash Flow'!$C$11:$N$11)</f>
        <v>460119.659079257</v>
      </c>
    </row>
    <row r="49" customFormat="false" ht="15" hidden="false" customHeight="false" outlineLevel="0" collapsed="false">
      <c r="A49" s="11" t="s">
        <v>627</v>
      </c>
      <c r="C49" s="26" t="n">
        <f aca="false">SUM('Monthly Cash Flow'!$C$21:$N$21)</f>
        <v>557311.17991259</v>
      </c>
    </row>
    <row r="50" customFormat="false" ht="15" hidden="false" customHeight="false" outlineLevel="0" collapsed="false">
      <c r="A50" s="11" t="s">
        <v>628</v>
      </c>
      <c r="C50" s="26" t="n">
        <f aca="false">SUM('Monthly Cash Flow'!$C$21:$N$21)-SUM('Monthly Cash Flow'!$C$11:$N$11)</f>
        <v>97191.5208333333</v>
      </c>
    </row>
    <row r="51" customFormat="false" ht="15" hidden="false" customHeight="false" outlineLevel="0" collapsed="false">
      <c r="A51" s="11" t="s">
        <v>629</v>
      </c>
      <c r="C51" s="26" t="n">
        <f aca="false">SUM('Monthly Cash Flow'!$O$21:$Z$21)</f>
        <v>759537.821174384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52"/>
    <col collapsed="false" customWidth="true" hidden="false" outlineLevel="0" max="3" min="3" style="0" width="78"/>
    <col collapsed="false" customWidth="true" hidden="false" outlineLevel="0" max="4" min="4" style="0" width="30"/>
  </cols>
  <sheetData>
    <row r="1" customFormat="false" ht="17.35" hidden="false" customHeight="false" outlineLevel="0" collapsed="false">
      <c r="B1" s="10" t="s">
        <v>630</v>
      </c>
    </row>
    <row r="2" customFormat="false" ht="15" hidden="false" customHeight="false" outlineLevel="0" collapsed="false">
      <c r="B2" s="3" t="s">
        <v>631</v>
      </c>
    </row>
    <row r="4" customFormat="false" ht="15" hidden="false" customHeight="false" outlineLevel="0" collapsed="false">
      <c r="B4" s="4" t="s">
        <v>632</v>
      </c>
      <c r="C4" s="5"/>
      <c r="D4" s="5"/>
    </row>
    <row r="5" customFormat="false" ht="30" hidden="false" customHeight="true" outlineLevel="0" collapsed="false">
      <c r="B5" s="59" t="s">
        <v>633</v>
      </c>
      <c r="C5" s="7" t="s">
        <v>634</v>
      </c>
      <c r="D5" s="60" t="s">
        <v>635</v>
      </c>
    </row>
    <row r="6" customFormat="false" ht="30" hidden="false" customHeight="true" outlineLevel="0" collapsed="false">
      <c r="B6" s="59" t="s">
        <v>636</v>
      </c>
      <c r="C6" s="7" t="s">
        <v>637</v>
      </c>
      <c r="D6" s="60" t="s">
        <v>638</v>
      </c>
    </row>
    <row r="7" customFormat="false" ht="30" hidden="false" customHeight="true" outlineLevel="0" collapsed="false">
      <c r="B7" s="59" t="s">
        <v>639</v>
      </c>
      <c r="C7" s="7" t="s">
        <v>640</v>
      </c>
      <c r="D7" s="60" t="s">
        <v>641</v>
      </c>
    </row>
    <row r="8" customFormat="false" ht="30" hidden="false" customHeight="true" outlineLevel="0" collapsed="false">
      <c r="B8" s="59" t="s">
        <v>642</v>
      </c>
      <c r="C8" s="7" t="s">
        <v>643</v>
      </c>
      <c r="D8" s="60" t="s">
        <v>644</v>
      </c>
    </row>
    <row r="9" customFormat="false" ht="15" hidden="false" customHeight="false" outlineLevel="0" collapsed="false">
      <c r="B9" s="4" t="s">
        <v>645</v>
      </c>
      <c r="C9" s="5"/>
      <c r="D9" s="5"/>
    </row>
    <row r="10" customFormat="false" ht="30" hidden="false" customHeight="true" outlineLevel="0" collapsed="false">
      <c r="B10" s="59" t="s">
        <v>646</v>
      </c>
      <c r="C10" s="7" t="s">
        <v>647</v>
      </c>
      <c r="D10" s="60" t="s">
        <v>648</v>
      </c>
    </row>
    <row r="11" customFormat="false" ht="30" hidden="false" customHeight="true" outlineLevel="0" collapsed="false">
      <c r="B11" s="59" t="s">
        <v>649</v>
      </c>
      <c r="C11" s="7" t="s">
        <v>650</v>
      </c>
      <c r="D11" s="60" t="s">
        <v>651</v>
      </c>
    </row>
    <row r="12" customFormat="false" ht="30" hidden="false" customHeight="true" outlineLevel="0" collapsed="false">
      <c r="B12" s="59" t="s">
        <v>652</v>
      </c>
      <c r="C12" s="7" t="s">
        <v>653</v>
      </c>
      <c r="D12" s="60" t="s">
        <v>654</v>
      </c>
    </row>
    <row r="13" customFormat="false" ht="30" hidden="false" customHeight="true" outlineLevel="0" collapsed="false">
      <c r="B13" s="59" t="s">
        <v>655</v>
      </c>
      <c r="C13" s="7" t="s">
        <v>656</v>
      </c>
      <c r="D13" s="60" t="s">
        <v>657</v>
      </c>
    </row>
    <row r="14" customFormat="false" ht="30" hidden="false" customHeight="true" outlineLevel="0" collapsed="false">
      <c r="B14" s="59" t="s">
        <v>658</v>
      </c>
      <c r="C14" s="7" t="s">
        <v>659</v>
      </c>
      <c r="D14" s="60" t="s">
        <v>660</v>
      </c>
    </row>
    <row r="15" customFormat="false" ht="15" hidden="false" customHeight="false" outlineLevel="0" collapsed="false">
      <c r="B15" s="4" t="s">
        <v>661</v>
      </c>
      <c r="C15" s="5"/>
      <c r="D15" s="5"/>
    </row>
    <row r="16" customFormat="false" ht="30" hidden="false" customHeight="true" outlineLevel="0" collapsed="false">
      <c r="B16" s="59" t="s">
        <v>662</v>
      </c>
      <c r="C16" s="7" t="s">
        <v>663</v>
      </c>
      <c r="D16" s="60" t="s">
        <v>664</v>
      </c>
    </row>
    <row r="17" customFormat="false" ht="30" hidden="false" customHeight="true" outlineLevel="0" collapsed="false">
      <c r="B17" s="59" t="s">
        <v>665</v>
      </c>
      <c r="C17" s="7" t="s">
        <v>666</v>
      </c>
      <c r="D17" s="60" t="s">
        <v>667</v>
      </c>
    </row>
    <row r="18" customFormat="false" ht="30" hidden="false" customHeight="true" outlineLevel="0" collapsed="false">
      <c r="B18" s="59" t="s">
        <v>668</v>
      </c>
      <c r="C18" s="7" t="s">
        <v>669</v>
      </c>
      <c r="D18" s="60" t="s">
        <v>670</v>
      </c>
    </row>
    <row r="19" customFormat="false" ht="30" hidden="false" customHeight="true" outlineLevel="0" collapsed="false">
      <c r="B19" s="59" t="s">
        <v>671</v>
      </c>
      <c r="C19" s="7" t="s">
        <v>672</v>
      </c>
      <c r="D19" s="60" t="s">
        <v>673</v>
      </c>
    </row>
    <row r="20" customFormat="false" ht="30" hidden="false" customHeight="true" outlineLevel="0" collapsed="false">
      <c r="B20" s="59" t="s">
        <v>674</v>
      </c>
      <c r="C20" s="7" t="s">
        <v>675</v>
      </c>
      <c r="D20" s="60" t="s">
        <v>676</v>
      </c>
    </row>
    <row r="21" customFormat="false" ht="15" hidden="false" customHeight="false" outlineLevel="0" collapsed="false">
      <c r="B21" s="4" t="s">
        <v>677</v>
      </c>
      <c r="C21" s="5"/>
      <c r="D21" s="5"/>
    </row>
    <row r="22" customFormat="false" ht="30" hidden="false" customHeight="true" outlineLevel="0" collapsed="false">
      <c r="B22" s="59" t="s">
        <v>678</v>
      </c>
      <c r="C22" s="7" t="s">
        <v>679</v>
      </c>
      <c r="D22" s="60" t="s">
        <v>680</v>
      </c>
    </row>
    <row r="23" customFormat="false" ht="30" hidden="false" customHeight="true" outlineLevel="0" collapsed="false">
      <c r="B23" s="59" t="s">
        <v>681</v>
      </c>
      <c r="C23" s="7" t="s">
        <v>682</v>
      </c>
      <c r="D23" s="60" t="s">
        <v>683</v>
      </c>
    </row>
    <row r="24" customFormat="false" ht="30" hidden="false" customHeight="true" outlineLevel="0" collapsed="false">
      <c r="B24" s="59" t="s">
        <v>684</v>
      </c>
      <c r="C24" s="7" t="s">
        <v>685</v>
      </c>
      <c r="D24" s="60" t="s">
        <v>686</v>
      </c>
    </row>
    <row r="25" customFormat="false" ht="30" hidden="false" customHeight="true" outlineLevel="0" collapsed="false">
      <c r="B25" s="59" t="s">
        <v>687</v>
      </c>
      <c r="C25" s="7" t="s">
        <v>688</v>
      </c>
      <c r="D25" s="60" t="s">
        <v>689</v>
      </c>
    </row>
    <row r="26" customFormat="false" ht="15" hidden="false" customHeight="false" outlineLevel="0" collapsed="false">
      <c r="B26" s="4" t="s">
        <v>690</v>
      </c>
      <c r="C26" s="5"/>
      <c r="D26" s="5"/>
    </row>
    <row r="27" customFormat="false" ht="30" hidden="false" customHeight="true" outlineLevel="0" collapsed="false">
      <c r="B27" s="59" t="s">
        <v>691</v>
      </c>
      <c r="C27" s="7" t="s">
        <v>692</v>
      </c>
      <c r="D27" s="60" t="s">
        <v>693</v>
      </c>
    </row>
    <row r="28" customFormat="false" ht="30" hidden="false" customHeight="true" outlineLevel="0" collapsed="false">
      <c r="B28" s="59" t="s">
        <v>694</v>
      </c>
      <c r="C28" s="7" t="s">
        <v>695</v>
      </c>
      <c r="D28" s="60" t="s">
        <v>696</v>
      </c>
    </row>
    <row r="29" customFormat="false" ht="30" hidden="false" customHeight="true" outlineLevel="0" collapsed="false">
      <c r="B29" s="59" t="s">
        <v>697</v>
      </c>
      <c r="C29" s="7" t="s">
        <v>698</v>
      </c>
      <c r="D29" s="60" t="s">
        <v>699</v>
      </c>
    </row>
    <row r="30" customFormat="false" ht="30" hidden="false" customHeight="true" outlineLevel="0" collapsed="false">
      <c r="B30" s="59" t="s">
        <v>700</v>
      </c>
      <c r="C30" s="7" t="s">
        <v>701</v>
      </c>
      <c r="D30" s="60" t="s">
        <v>702</v>
      </c>
    </row>
    <row r="31" customFormat="false" ht="15" hidden="false" customHeight="false" outlineLevel="0" collapsed="false">
      <c r="B31" s="4" t="s">
        <v>703</v>
      </c>
      <c r="C31" s="5"/>
      <c r="D31" s="5"/>
    </row>
    <row r="32" customFormat="false" ht="30" hidden="false" customHeight="true" outlineLevel="0" collapsed="false">
      <c r="B32" s="59" t="s">
        <v>704</v>
      </c>
      <c r="C32" s="7" t="s">
        <v>705</v>
      </c>
      <c r="D32" s="60" t="s">
        <v>706</v>
      </c>
    </row>
    <row r="33" customFormat="false" ht="30" hidden="false" customHeight="true" outlineLevel="0" collapsed="false">
      <c r="B33" s="59" t="s">
        <v>707</v>
      </c>
      <c r="C33" s="7" t="s">
        <v>708</v>
      </c>
      <c r="D33" s="60" t="s">
        <v>709</v>
      </c>
    </row>
    <row r="34" customFormat="false" ht="30" hidden="false" customHeight="true" outlineLevel="0" collapsed="false">
      <c r="B34" s="59" t="s">
        <v>710</v>
      </c>
      <c r="C34" s="7" t="s">
        <v>711</v>
      </c>
      <c r="D34" s="60" t="s">
        <v>712</v>
      </c>
    </row>
    <row r="35" customFormat="false" ht="15" hidden="false" customHeight="false" outlineLevel="0" collapsed="false">
      <c r="B35" s="4" t="s">
        <v>713</v>
      </c>
      <c r="C35" s="5"/>
      <c r="D35" s="5"/>
    </row>
    <row r="36" customFormat="false" ht="30" hidden="false" customHeight="true" outlineLevel="0" collapsed="false">
      <c r="B36" s="59" t="s">
        <v>714</v>
      </c>
      <c r="C36" s="7" t="s">
        <v>715</v>
      </c>
      <c r="D36" s="60" t="s">
        <v>716</v>
      </c>
    </row>
    <row r="37" customFormat="false" ht="30" hidden="false" customHeight="true" outlineLevel="0" collapsed="false">
      <c r="B37" s="59" t="s">
        <v>717</v>
      </c>
      <c r="C37" s="7" t="s">
        <v>718</v>
      </c>
      <c r="D37" s="60" t="s">
        <v>716</v>
      </c>
    </row>
    <row r="38" customFormat="false" ht="30" hidden="false" customHeight="true" outlineLevel="0" collapsed="false">
      <c r="B38" s="59" t="s">
        <v>719</v>
      </c>
      <c r="C38" s="7" t="s">
        <v>720</v>
      </c>
      <c r="D38" s="60" t="s">
        <v>716</v>
      </c>
    </row>
    <row r="39" customFormat="false" ht="30" hidden="false" customHeight="true" outlineLevel="0" collapsed="false">
      <c r="B39" s="59" t="s">
        <v>721</v>
      </c>
      <c r="C39" s="7" t="s">
        <v>722</v>
      </c>
      <c r="D39" s="60" t="s">
        <v>723</v>
      </c>
    </row>
    <row r="40" customFormat="false" ht="15" hidden="false" customHeight="false" outlineLevel="0" collapsed="false">
      <c r="B40" s="4" t="s">
        <v>724</v>
      </c>
      <c r="C40" s="5"/>
      <c r="D40" s="5"/>
    </row>
    <row r="41" customFormat="false" ht="30" hidden="false" customHeight="true" outlineLevel="0" collapsed="false">
      <c r="B41" s="59" t="s">
        <v>725</v>
      </c>
      <c r="C41" s="7" t="s">
        <v>726</v>
      </c>
      <c r="D41" s="60"/>
    </row>
    <row r="42" customFormat="false" ht="30" hidden="false" customHeight="true" outlineLevel="0" collapsed="false">
      <c r="B42" s="59" t="s">
        <v>727</v>
      </c>
      <c r="C42" s="7" t="s">
        <v>728</v>
      </c>
      <c r="D42" s="60"/>
    </row>
    <row r="43" customFormat="false" ht="30" hidden="false" customHeight="true" outlineLevel="0" collapsed="false">
      <c r="B43" s="59" t="s">
        <v>729</v>
      </c>
      <c r="C43" s="7" t="s">
        <v>730</v>
      </c>
      <c r="D43" s="60"/>
    </row>
    <row r="44" customFormat="false" ht="30" hidden="false" customHeight="true" outlineLevel="0" collapsed="false">
      <c r="B44" s="59" t="s">
        <v>731</v>
      </c>
      <c r="C44" s="7" t="s">
        <v>732</v>
      </c>
      <c r="D44" s="60"/>
    </row>
    <row r="45" customFormat="false" ht="30" hidden="false" customHeight="true" outlineLevel="0" collapsed="false">
      <c r="B45" s="59" t="s">
        <v>733</v>
      </c>
      <c r="C45" s="7" t="s">
        <v>734</v>
      </c>
      <c r="D45" s="60"/>
    </row>
    <row r="46" customFormat="false" ht="30" hidden="false" customHeight="true" outlineLevel="0" collapsed="false">
      <c r="B46" s="59" t="s">
        <v>735</v>
      </c>
      <c r="C46" s="7" t="s">
        <v>736</v>
      </c>
      <c r="D46" s="6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2026-09-11T16:40:11Z</dcterms:created>
  <dc:creator>openpyxl</dc:creator>
  <dc:description/>
  <dc:language>en-US</dc:language>
  <cp:lastModifiedBy/>
  <dcterms:modified xsi:type="dcterms:W3CDTF">2026-09-11T16:40:13Z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